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ssumptions" sheetId="1" r:id="rId1"/>
    <sheet name="Calculations" sheetId="2" r:id="rId2"/>
    <sheet name="Reserve and Cash Values" sheetId="3" r:id="rId3"/>
    <sheet name="Answers" sheetId="4" r:id="rId4"/>
  </sheets>
  <definedNames/>
  <calcPr fullCalcOnLoad="1"/>
</workbook>
</file>

<file path=xl/sharedStrings.xml><?xml version="1.0" encoding="utf-8"?>
<sst xmlns="http://schemas.openxmlformats.org/spreadsheetml/2006/main" count="68" uniqueCount="57">
  <si>
    <t>Assumptions</t>
  </si>
  <si>
    <t>Duration</t>
  </si>
  <si>
    <t xml:space="preserve">Interest </t>
  </si>
  <si>
    <t>Rate</t>
  </si>
  <si>
    <t>Investment</t>
  </si>
  <si>
    <t>Expense</t>
  </si>
  <si>
    <t>Mortality</t>
  </si>
  <si>
    <t>Lapses</t>
  </si>
  <si>
    <t>Base</t>
  </si>
  <si>
    <t>Factors</t>
  </si>
  <si>
    <t>Expenses</t>
  </si>
  <si>
    <t>Per 1000</t>
  </si>
  <si>
    <t>Per Pol</t>
  </si>
  <si>
    <t>% of Prem</t>
  </si>
  <si>
    <t>Prem Tax</t>
  </si>
  <si>
    <t>Commissions</t>
  </si>
  <si>
    <t>Policy Fee:</t>
  </si>
  <si>
    <t>Average Size:</t>
  </si>
  <si>
    <t>Net Inv</t>
  </si>
  <si>
    <t>Lapse</t>
  </si>
  <si>
    <t>In Force</t>
  </si>
  <si>
    <t>Beg of Yr</t>
  </si>
  <si>
    <t>Premiums</t>
  </si>
  <si>
    <t>w/ Fee</t>
  </si>
  <si>
    <t>Comm</t>
  </si>
  <si>
    <t>Other</t>
  </si>
  <si>
    <t xml:space="preserve">Death </t>
  </si>
  <si>
    <t>Benefits</t>
  </si>
  <si>
    <t>Death</t>
  </si>
  <si>
    <t xml:space="preserve">Terminal </t>
  </si>
  <si>
    <t>Reserves</t>
  </si>
  <si>
    <t>Cash</t>
  </si>
  <si>
    <t>Values</t>
  </si>
  <si>
    <t>Inc. In.</t>
  </si>
  <si>
    <t>Reserve</t>
  </si>
  <si>
    <t>Book</t>
  </si>
  <si>
    <t>Profit</t>
  </si>
  <si>
    <t>Inv. Inc.</t>
  </si>
  <si>
    <t>Cash Flow</t>
  </si>
  <si>
    <t>on Surplus</t>
  </si>
  <si>
    <t>Surplus</t>
  </si>
  <si>
    <t>Rate/1000</t>
  </si>
  <si>
    <t>Gross Premium without Fee:</t>
  </si>
  <si>
    <t>Profit Margin:</t>
  </si>
  <si>
    <t>Return on Investment:</t>
  </si>
  <si>
    <t>vx</t>
  </si>
  <si>
    <t>tVx</t>
  </si>
  <si>
    <t>Int:</t>
  </si>
  <si>
    <t>lx</t>
  </si>
  <si>
    <t>dx</t>
  </si>
  <si>
    <t>Dx</t>
  </si>
  <si>
    <t>Nx</t>
  </si>
  <si>
    <t>Cx</t>
  </si>
  <si>
    <t>Mx</t>
  </si>
  <si>
    <t>Net Prem</t>
  </si>
  <si>
    <t>tCVx</t>
  </si>
  <si>
    <t>PLIC Life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</si>
</sst>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44" fontId="0" fillId="0" borderId="0" xfId="44" applyFont="1" applyAlignment="1">
      <alignment/>
    </xf>
    <xf numFmtId="165" fontId="0" fillId="0" borderId="0" xfId="0" applyNumberForma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11" max="11" width="12.00390625" style="0" customWidth="1"/>
  </cols>
  <sheetData>
    <row r="1" ht="12.75">
      <c r="A1" t="s">
        <v>56</v>
      </c>
    </row>
    <row r="3" ht="12.75">
      <c r="A3" s="1">
        <v>39156</v>
      </c>
    </row>
    <row r="5" ht="12.75">
      <c r="A5" t="s">
        <v>0</v>
      </c>
    </row>
    <row r="7" spans="2:7" ht="12.75">
      <c r="B7" t="s">
        <v>2</v>
      </c>
      <c r="C7" t="s">
        <v>4</v>
      </c>
      <c r="D7" t="s">
        <v>8</v>
      </c>
      <c r="E7" t="s">
        <v>6</v>
      </c>
      <c r="G7" t="s">
        <v>10</v>
      </c>
    </row>
    <row r="8" spans="1:11" ht="12.75">
      <c r="A8" t="s">
        <v>1</v>
      </c>
      <c r="B8" t="s">
        <v>3</v>
      </c>
      <c r="C8" t="s">
        <v>5</v>
      </c>
      <c r="D8" t="s">
        <v>6</v>
      </c>
      <c r="E8" t="s">
        <v>9</v>
      </c>
      <c r="F8" t="s">
        <v>7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</row>
    <row r="10" spans="1:11" ht="12.75">
      <c r="A10">
        <v>1</v>
      </c>
      <c r="B10">
        <v>0.06</v>
      </c>
      <c r="C10">
        <v>0.0025</v>
      </c>
      <c r="D10" s="4">
        <v>0.79</v>
      </c>
      <c r="E10" s="2">
        <v>0.56</v>
      </c>
      <c r="F10" s="2">
        <v>0.1</v>
      </c>
      <c r="G10" s="3">
        <v>1</v>
      </c>
      <c r="H10" s="3">
        <v>300</v>
      </c>
      <c r="I10" s="2">
        <v>0.05</v>
      </c>
      <c r="J10" s="2">
        <v>0.025</v>
      </c>
      <c r="K10" s="2">
        <v>1</v>
      </c>
    </row>
    <row r="11" spans="1:11" ht="12.75">
      <c r="A11">
        <v>2</v>
      </c>
      <c r="B11">
        <f>+B10</f>
        <v>0.06</v>
      </c>
      <c r="C11">
        <f>+C10</f>
        <v>0.0025</v>
      </c>
      <c r="D11" s="4">
        <v>1.02</v>
      </c>
      <c r="E11" s="2">
        <f>E10</f>
        <v>0.56</v>
      </c>
      <c r="F11" s="2">
        <v>0.1</v>
      </c>
      <c r="G11" s="3">
        <v>0</v>
      </c>
      <c r="H11" s="3">
        <v>40</v>
      </c>
      <c r="I11" s="2">
        <v>0</v>
      </c>
      <c r="J11" s="2">
        <v>0.025</v>
      </c>
      <c r="K11" s="2">
        <v>0.06</v>
      </c>
    </row>
    <row r="12" spans="1:11" ht="12.75">
      <c r="A12">
        <v>3</v>
      </c>
      <c r="B12">
        <f aca="true" t="shared" si="0" ref="B12:B29">+B11</f>
        <v>0.06</v>
      </c>
      <c r="C12">
        <f aca="true" t="shared" si="1" ref="C12:C29">+C11</f>
        <v>0.0025</v>
      </c>
      <c r="D12" s="4">
        <v>1.45</v>
      </c>
      <c r="E12" s="2">
        <f aca="true" t="shared" si="2" ref="E12:E29">E11</f>
        <v>0.56</v>
      </c>
      <c r="F12" s="2">
        <v>0.1</v>
      </c>
      <c r="G12" s="3">
        <v>0</v>
      </c>
      <c r="H12" s="3">
        <v>40</v>
      </c>
      <c r="I12" s="2">
        <v>0</v>
      </c>
      <c r="J12" s="2">
        <v>0.025</v>
      </c>
      <c r="K12" s="2">
        <v>0.06</v>
      </c>
    </row>
    <row r="13" spans="1:11" ht="12.75">
      <c r="A13">
        <v>4</v>
      </c>
      <c r="B13">
        <f t="shared" si="0"/>
        <v>0.06</v>
      </c>
      <c r="C13">
        <f t="shared" si="1"/>
        <v>0.0025</v>
      </c>
      <c r="D13" s="4">
        <v>1.73</v>
      </c>
      <c r="E13" s="2">
        <f t="shared" si="2"/>
        <v>0.56</v>
      </c>
      <c r="F13" s="2">
        <v>0.1</v>
      </c>
      <c r="G13" s="3">
        <v>0</v>
      </c>
      <c r="H13" s="3">
        <v>40</v>
      </c>
      <c r="I13" s="2">
        <v>0</v>
      </c>
      <c r="J13" s="2">
        <v>0.025</v>
      </c>
      <c r="K13" s="2">
        <v>0.06</v>
      </c>
    </row>
    <row r="14" spans="1:11" ht="12.75">
      <c r="A14">
        <v>5</v>
      </c>
      <c r="B14">
        <f t="shared" si="0"/>
        <v>0.06</v>
      </c>
      <c r="C14">
        <f t="shared" si="1"/>
        <v>0.0025</v>
      </c>
      <c r="D14" s="4">
        <v>2</v>
      </c>
      <c r="E14" s="2">
        <f t="shared" si="2"/>
        <v>0.56</v>
      </c>
      <c r="F14" s="2">
        <v>0.1</v>
      </c>
      <c r="G14" s="3">
        <v>0</v>
      </c>
      <c r="H14" s="3">
        <v>40</v>
      </c>
      <c r="I14" s="2">
        <v>0</v>
      </c>
      <c r="J14" s="2">
        <v>0.025</v>
      </c>
      <c r="K14" s="2">
        <v>0.06</v>
      </c>
    </row>
    <row r="15" spans="1:11" ht="12.75">
      <c r="A15">
        <v>6</v>
      </c>
      <c r="B15">
        <f t="shared" si="0"/>
        <v>0.06</v>
      </c>
      <c r="C15">
        <f t="shared" si="1"/>
        <v>0.0025</v>
      </c>
      <c r="D15" s="4">
        <v>2.23</v>
      </c>
      <c r="E15" s="2">
        <f t="shared" si="2"/>
        <v>0.56</v>
      </c>
      <c r="F15" s="2">
        <v>0.1</v>
      </c>
      <c r="G15" s="3">
        <v>0</v>
      </c>
      <c r="H15" s="3">
        <v>40</v>
      </c>
      <c r="I15" s="2">
        <v>0</v>
      </c>
      <c r="J15" s="2">
        <v>0.025</v>
      </c>
      <c r="K15" s="2">
        <v>0.06</v>
      </c>
    </row>
    <row r="16" spans="1:11" ht="12.75">
      <c r="A16">
        <v>7</v>
      </c>
      <c r="B16">
        <f t="shared" si="0"/>
        <v>0.06</v>
      </c>
      <c r="C16">
        <f t="shared" si="1"/>
        <v>0.0025</v>
      </c>
      <c r="D16" s="4">
        <v>2.51</v>
      </c>
      <c r="E16" s="2">
        <f t="shared" si="2"/>
        <v>0.56</v>
      </c>
      <c r="F16" s="2">
        <v>0.1</v>
      </c>
      <c r="G16" s="3">
        <v>0</v>
      </c>
      <c r="H16" s="3">
        <v>40</v>
      </c>
      <c r="I16" s="2">
        <v>0</v>
      </c>
      <c r="J16" s="2">
        <v>0.025</v>
      </c>
      <c r="K16" s="2">
        <v>0.06</v>
      </c>
    </row>
    <row r="17" spans="1:11" ht="12.75">
      <c r="A17">
        <v>8</v>
      </c>
      <c r="B17">
        <f t="shared" si="0"/>
        <v>0.06</v>
      </c>
      <c r="C17">
        <f t="shared" si="1"/>
        <v>0.0025</v>
      </c>
      <c r="D17" s="4">
        <v>2.79</v>
      </c>
      <c r="E17" s="2">
        <f t="shared" si="2"/>
        <v>0.56</v>
      </c>
      <c r="F17" s="2">
        <v>0.1</v>
      </c>
      <c r="G17" s="3">
        <v>0</v>
      </c>
      <c r="H17" s="3">
        <v>40</v>
      </c>
      <c r="I17" s="2">
        <v>0</v>
      </c>
      <c r="J17" s="2">
        <v>0.025</v>
      </c>
      <c r="K17" s="2">
        <v>0.06</v>
      </c>
    </row>
    <row r="18" spans="1:11" ht="12.75">
      <c r="A18">
        <v>9</v>
      </c>
      <c r="B18">
        <f t="shared" si="0"/>
        <v>0.06</v>
      </c>
      <c r="C18">
        <f t="shared" si="1"/>
        <v>0.0025</v>
      </c>
      <c r="D18" s="4">
        <v>3.13</v>
      </c>
      <c r="E18" s="2">
        <f t="shared" si="2"/>
        <v>0.56</v>
      </c>
      <c r="F18" s="2">
        <v>0.1</v>
      </c>
      <c r="G18" s="3">
        <v>0</v>
      </c>
      <c r="H18" s="3">
        <v>40</v>
      </c>
      <c r="I18" s="2">
        <v>0</v>
      </c>
      <c r="J18" s="2">
        <v>0.025</v>
      </c>
      <c r="K18" s="2">
        <v>0.06</v>
      </c>
    </row>
    <row r="19" spans="1:11" ht="12.75">
      <c r="A19">
        <v>10</v>
      </c>
      <c r="B19">
        <f t="shared" si="0"/>
        <v>0.06</v>
      </c>
      <c r="C19">
        <f t="shared" si="1"/>
        <v>0.0025</v>
      </c>
      <c r="D19" s="4">
        <v>3.51</v>
      </c>
      <c r="E19" s="2">
        <f t="shared" si="2"/>
        <v>0.56</v>
      </c>
      <c r="F19" s="2">
        <v>0.1</v>
      </c>
      <c r="G19" s="3">
        <v>0</v>
      </c>
      <c r="H19" s="3">
        <v>40</v>
      </c>
      <c r="I19" s="2">
        <v>0</v>
      </c>
      <c r="J19" s="2">
        <v>0.025</v>
      </c>
      <c r="K19" s="2">
        <v>0.06</v>
      </c>
    </row>
    <row r="20" spans="1:11" ht="12.75">
      <c r="A20">
        <v>11</v>
      </c>
      <c r="B20">
        <f t="shared" si="0"/>
        <v>0.06</v>
      </c>
      <c r="C20">
        <f t="shared" si="1"/>
        <v>0.0025</v>
      </c>
      <c r="D20" s="4">
        <v>3.94</v>
      </c>
      <c r="E20" s="2">
        <f t="shared" si="2"/>
        <v>0.56</v>
      </c>
      <c r="F20" s="2">
        <v>0.1</v>
      </c>
      <c r="G20" s="3">
        <v>0</v>
      </c>
      <c r="H20" s="3">
        <v>40</v>
      </c>
      <c r="I20" s="2">
        <v>0</v>
      </c>
      <c r="J20" s="2">
        <v>0.025</v>
      </c>
      <c r="K20" s="2">
        <v>0.03</v>
      </c>
    </row>
    <row r="21" spans="1:11" ht="12.75">
      <c r="A21">
        <v>12</v>
      </c>
      <c r="B21">
        <f t="shared" si="0"/>
        <v>0.06</v>
      </c>
      <c r="C21">
        <f t="shared" si="1"/>
        <v>0.0025</v>
      </c>
      <c r="D21" s="4">
        <v>4.47</v>
      </c>
      <c r="E21" s="2">
        <f t="shared" si="2"/>
        <v>0.56</v>
      </c>
      <c r="F21" s="2">
        <v>0.1</v>
      </c>
      <c r="G21" s="3">
        <v>0</v>
      </c>
      <c r="H21" s="3">
        <v>40</v>
      </c>
      <c r="I21" s="2">
        <v>0</v>
      </c>
      <c r="J21" s="2">
        <v>0.025</v>
      </c>
      <c r="K21" s="2">
        <v>0.03</v>
      </c>
    </row>
    <row r="22" spans="1:11" ht="12.75">
      <c r="A22">
        <v>13</v>
      </c>
      <c r="B22">
        <f t="shared" si="0"/>
        <v>0.06</v>
      </c>
      <c r="C22">
        <f t="shared" si="1"/>
        <v>0.0025</v>
      </c>
      <c r="D22" s="4">
        <v>5.13</v>
      </c>
      <c r="E22" s="2">
        <f t="shared" si="2"/>
        <v>0.56</v>
      </c>
      <c r="F22" s="2">
        <v>0.1</v>
      </c>
      <c r="G22" s="3">
        <v>0</v>
      </c>
      <c r="H22" s="3">
        <v>40</v>
      </c>
      <c r="I22" s="2">
        <v>0</v>
      </c>
      <c r="J22" s="2">
        <v>0.025</v>
      </c>
      <c r="K22" s="2">
        <v>0.03</v>
      </c>
    </row>
    <row r="23" spans="1:11" ht="12.75">
      <c r="A23">
        <v>14</v>
      </c>
      <c r="B23">
        <f t="shared" si="0"/>
        <v>0.06</v>
      </c>
      <c r="C23">
        <f t="shared" si="1"/>
        <v>0.0025</v>
      </c>
      <c r="D23" s="4">
        <v>5.82</v>
      </c>
      <c r="E23" s="2">
        <f t="shared" si="2"/>
        <v>0.56</v>
      </c>
      <c r="F23" s="2">
        <v>0.1</v>
      </c>
      <c r="G23" s="3">
        <v>0</v>
      </c>
      <c r="H23" s="3">
        <v>40</v>
      </c>
      <c r="I23" s="2">
        <v>0</v>
      </c>
      <c r="J23" s="2">
        <v>0.025</v>
      </c>
      <c r="K23" s="2">
        <v>0.03</v>
      </c>
    </row>
    <row r="24" spans="1:11" ht="12.75">
      <c r="A24">
        <v>15</v>
      </c>
      <c r="B24">
        <f t="shared" si="0"/>
        <v>0.06</v>
      </c>
      <c r="C24">
        <f t="shared" si="1"/>
        <v>0.0025</v>
      </c>
      <c r="D24" s="4">
        <v>6.48</v>
      </c>
      <c r="E24" s="2">
        <f t="shared" si="2"/>
        <v>0.56</v>
      </c>
      <c r="F24" s="2">
        <v>0.1</v>
      </c>
      <c r="G24" s="3">
        <v>0</v>
      </c>
      <c r="H24" s="3">
        <v>40</v>
      </c>
      <c r="I24" s="2">
        <v>0</v>
      </c>
      <c r="J24" s="2">
        <v>0.025</v>
      </c>
      <c r="K24" s="2">
        <v>0.03</v>
      </c>
    </row>
    <row r="25" spans="1:11" ht="12.75">
      <c r="A25">
        <v>16</v>
      </c>
      <c r="B25">
        <f t="shared" si="0"/>
        <v>0.06</v>
      </c>
      <c r="C25">
        <f t="shared" si="1"/>
        <v>0.0025</v>
      </c>
      <c r="D25" s="4">
        <v>7.27</v>
      </c>
      <c r="E25" s="2">
        <f t="shared" si="2"/>
        <v>0.56</v>
      </c>
      <c r="F25" s="2">
        <v>0.1</v>
      </c>
      <c r="G25" s="3">
        <v>0</v>
      </c>
      <c r="H25" s="3">
        <v>40</v>
      </c>
      <c r="I25" s="2">
        <v>0</v>
      </c>
      <c r="J25" s="2">
        <v>0.025</v>
      </c>
      <c r="K25" s="2">
        <v>0.03</v>
      </c>
    </row>
    <row r="26" spans="1:11" ht="12.75">
      <c r="A26">
        <v>17</v>
      </c>
      <c r="B26">
        <f t="shared" si="0"/>
        <v>0.06</v>
      </c>
      <c r="C26">
        <f t="shared" si="1"/>
        <v>0.0025</v>
      </c>
      <c r="D26" s="4">
        <v>8.01</v>
      </c>
      <c r="E26" s="2">
        <f t="shared" si="2"/>
        <v>0.56</v>
      </c>
      <c r="F26" s="2">
        <v>0.1</v>
      </c>
      <c r="G26" s="3">
        <v>0</v>
      </c>
      <c r="H26" s="3">
        <v>40</v>
      </c>
      <c r="I26" s="2">
        <v>0</v>
      </c>
      <c r="J26" s="2">
        <v>0.025</v>
      </c>
      <c r="K26" s="2">
        <v>0.03</v>
      </c>
    </row>
    <row r="27" spans="1:11" ht="12.75">
      <c r="A27">
        <v>18</v>
      </c>
      <c r="B27">
        <f t="shared" si="0"/>
        <v>0.06</v>
      </c>
      <c r="C27">
        <f t="shared" si="1"/>
        <v>0.0025</v>
      </c>
      <c r="D27" s="4">
        <v>8.82</v>
      </c>
      <c r="E27" s="2">
        <f t="shared" si="2"/>
        <v>0.56</v>
      </c>
      <c r="F27" s="2">
        <v>0.1</v>
      </c>
      <c r="G27" s="3">
        <v>0</v>
      </c>
      <c r="H27" s="3">
        <v>40</v>
      </c>
      <c r="I27" s="2">
        <v>0</v>
      </c>
      <c r="J27" s="2">
        <v>0.025</v>
      </c>
      <c r="K27" s="2">
        <v>0.03</v>
      </c>
    </row>
    <row r="28" spans="1:11" ht="12.75">
      <c r="A28">
        <v>19</v>
      </c>
      <c r="B28">
        <f t="shared" si="0"/>
        <v>0.06</v>
      </c>
      <c r="C28">
        <f t="shared" si="1"/>
        <v>0.0025</v>
      </c>
      <c r="D28" s="4">
        <v>9.73</v>
      </c>
      <c r="E28" s="2">
        <f t="shared" si="2"/>
        <v>0.56</v>
      </c>
      <c r="F28" s="2">
        <v>0.1</v>
      </c>
      <c r="G28" s="3">
        <v>0</v>
      </c>
      <c r="H28" s="3">
        <v>40</v>
      </c>
      <c r="I28" s="2">
        <v>0</v>
      </c>
      <c r="J28" s="2">
        <v>0.025</v>
      </c>
      <c r="K28" s="2">
        <v>0.03</v>
      </c>
    </row>
    <row r="29" spans="1:11" ht="12.75">
      <c r="A29">
        <v>20</v>
      </c>
      <c r="B29">
        <f t="shared" si="0"/>
        <v>0.06</v>
      </c>
      <c r="C29">
        <f t="shared" si="1"/>
        <v>0.0025</v>
      </c>
      <c r="D29" s="4">
        <v>10.75</v>
      </c>
      <c r="E29" s="2">
        <f t="shared" si="2"/>
        <v>0.56</v>
      </c>
      <c r="F29" s="2">
        <v>0.1</v>
      </c>
      <c r="G29" s="3">
        <v>0</v>
      </c>
      <c r="H29" s="3">
        <v>40</v>
      </c>
      <c r="I29" s="2">
        <v>0</v>
      </c>
      <c r="J29" s="2">
        <v>0.025</v>
      </c>
      <c r="K29" s="2">
        <v>0.03</v>
      </c>
    </row>
    <row r="31" spans="1:8" ht="12.75">
      <c r="A31" t="s">
        <v>17</v>
      </c>
      <c r="C31">
        <v>150</v>
      </c>
      <c r="F31" t="s">
        <v>16</v>
      </c>
      <c r="H31">
        <v>50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27"/>
  <sheetViews>
    <sheetView zoomScalePageLayoutView="0" workbookViewId="0" topLeftCell="E1">
      <selection activeCell="L2" sqref="L2"/>
    </sheetView>
  </sheetViews>
  <sheetFormatPr defaultColWidth="9.140625" defaultRowHeight="12.75"/>
  <sheetData>
    <row r="4" spans="2:17" ht="12.75">
      <c r="B4" t="s">
        <v>18</v>
      </c>
      <c r="C4" t="s">
        <v>6</v>
      </c>
      <c r="D4" t="s">
        <v>19</v>
      </c>
      <c r="E4" t="s">
        <v>20</v>
      </c>
      <c r="F4" t="s">
        <v>28</v>
      </c>
      <c r="G4" t="s">
        <v>29</v>
      </c>
      <c r="H4" t="s">
        <v>31</v>
      </c>
      <c r="I4" t="s">
        <v>22</v>
      </c>
      <c r="K4" t="s">
        <v>25</v>
      </c>
      <c r="L4" t="s">
        <v>26</v>
      </c>
      <c r="M4" t="s">
        <v>19</v>
      </c>
      <c r="N4" t="s">
        <v>33</v>
      </c>
      <c r="O4" t="s">
        <v>37</v>
      </c>
      <c r="P4" t="s">
        <v>37</v>
      </c>
      <c r="Q4" t="s">
        <v>35</v>
      </c>
    </row>
    <row r="5" spans="1:18" ht="12.75">
      <c r="A5" t="s">
        <v>1</v>
      </c>
      <c r="B5" t="s">
        <v>3</v>
      </c>
      <c r="C5" t="s">
        <v>41</v>
      </c>
      <c r="D5" t="s">
        <v>3</v>
      </c>
      <c r="E5" t="s">
        <v>21</v>
      </c>
      <c r="F5" t="s">
        <v>27</v>
      </c>
      <c r="G5" t="s">
        <v>30</v>
      </c>
      <c r="H5" t="s">
        <v>32</v>
      </c>
      <c r="I5" t="s">
        <v>23</v>
      </c>
      <c r="J5" t="s">
        <v>24</v>
      </c>
      <c r="K5" t="s">
        <v>10</v>
      </c>
      <c r="L5" t="s">
        <v>27</v>
      </c>
      <c r="M5" t="s">
        <v>27</v>
      </c>
      <c r="N5" t="s">
        <v>34</v>
      </c>
      <c r="O5" t="s">
        <v>38</v>
      </c>
      <c r="P5" t="s">
        <v>39</v>
      </c>
      <c r="Q5" t="s">
        <v>36</v>
      </c>
      <c r="R5" t="s">
        <v>40</v>
      </c>
    </row>
    <row r="7" spans="1:18" ht="12.75">
      <c r="A7">
        <v>1</v>
      </c>
      <c r="B7" s="6">
        <f>+Assumptions!B10-Assumptions!C10</f>
        <v>0.057499999999999996</v>
      </c>
      <c r="C7" s="6">
        <f>Assumptions!D10*Assumptions!E10</f>
        <v>0.44240000000000007</v>
      </c>
      <c r="D7" s="6">
        <f>+Assumptions!F10</f>
        <v>0.1</v>
      </c>
      <c r="E7" s="6">
        <v>1</v>
      </c>
      <c r="F7">
        <v>1000</v>
      </c>
      <c r="G7" s="5">
        <f>'Reserve and Cash Values'!K5</f>
        <v>0</v>
      </c>
      <c r="H7" s="5">
        <f>'Reserve and Cash Values'!L5</f>
        <v>0</v>
      </c>
      <c r="I7" s="5">
        <f>(Answers!D$4+Assumptions!H$31/Assumptions!C$31)*E7</f>
        <v>3.3333333333333335</v>
      </c>
      <c r="J7" s="5">
        <f>+(I7-Assumptions!H$31/Assumptions!C$31)*Assumptions!K10</f>
        <v>3</v>
      </c>
      <c r="K7" s="5">
        <f>(Assumptions!G10+Assumptions!H10/Assumptions!C$31)*E7+Assumptions!I10*Calculations!I7+Assumptions!J10*Calculations!I7</f>
        <v>3.25</v>
      </c>
      <c r="L7" s="5">
        <f>+F7*E7*C7/1000</f>
        <v>0.44240000000000007</v>
      </c>
      <c r="M7" s="5">
        <f>H7*D7*(1-C7/1000)*E7</f>
        <v>0</v>
      </c>
      <c r="N7" s="5">
        <f>G7*E8-SUM(N$6:N6)</f>
        <v>0</v>
      </c>
      <c r="O7" s="5">
        <f>B7*(I7-(J7+K7-K8)-0.5*(K8+L7))</f>
        <v>-0.17137508981833327</v>
      </c>
      <c r="P7" s="5">
        <f>B7*R6</f>
        <v>0</v>
      </c>
      <c r="Q7" s="5">
        <f>I7-J7-K7-L7-M7-N7+O7+B7*(E7*G6/2)</f>
        <v>-3.5304417564849997</v>
      </c>
      <c r="R7" s="5">
        <f>R6+Q7+P7</f>
        <v>-3.5304417564849997</v>
      </c>
    </row>
    <row r="8" spans="1:18" ht="12.75">
      <c r="A8">
        <v>2</v>
      </c>
      <c r="B8" s="6">
        <f>+Assumptions!B11-Assumptions!C11</f>
        <v>0.057499999999999996</v>
      </c>
      <c r="C8" s="6">
        <f>Assumptions!D11*Assumptions!E11</f>
        <v>0.5712</v>
      </c>
      <c r="D8" s="6">
        <f>+Assumptions!F11</f>
        <v>0.1</v>
      </c>
      <c r="E8" s="6">
        <f>+E7*(1-D7)*(1-C7/1000)</f>
        <v>0.8996018400000001</v>
      </c>
      <c r="F8">
        <v>1000</v>
      </c>
      <c r="G8" s="5">
        <f>'Reserve and Cash Values'!K6</f>
        <v>3.3538458811299137</v>
      </c>
      <c r="H8" s="5">
        <f>'Reserve and Cash Values'!L6</f>
        <v>0</v>
      </c>
      <c r="I8" s="5">
        <f>(Answers!D$4+Assumptions!H$31/Assumptions!C$31)*E8</f>
        <v>2.9986728000000005</v>
      </c>
      <c r="J8" s="5">
        <f>+(I8-Assumptions!H$31/Assumptions!C$31)*Assumptions!K11</f>
        <v>0.159920368</v>
      </c>
      <c r="K8" s="5">
        <f>(Assumptions!G11+Assumptions!H11/Assumptions!C$31)*E8+Assumptions!I11*Calculations!I8+Assumptions!J11*Calculations!I8</f>
        <v>0.314860644</v>
      </c>
      <c r="L8" s="5">
        <f aca="true" t="shared" si="0" ref="L8:L26">+F8*E8*C8/1000</f>
        <v>0.5138525710080002</v>
      </c>
      <c r="M8" s="5">
        <f aca="true" t="shared" si="1" ref="M8:M26">H8*D8*(1-C8/1000)*E8</f>
        <v>0</v>
      </c>
      <c r="N8" s="5">
        <f>G8*E9-SUM(N$6:N7)</f>
        <v>2.713862289070898</v>
      </c>
      <c r="O8" s="5">
        <f>B8*(I8-(J8+K8)-0.5*(K9+L8))</f>
        <v>0.12220815080736619</v>
      </c>
      <c r="P8" s="5">
        <f aca="true" t="shared" si="2" ref="P8:P26">B8*R7</f>
        <v>-0.20300040099788746</v>
      </c>
      <c r="Q8" s="5">
        <f aca="true" t="shared" si="3" ref="Q8:Q26">I8-J8-K8-L8-M8-N8+O8+B8*(E8*G7/2)</f>
        <v>-0.5816149212715316</v>
      </c>
      <c r="R8" s="5">
        <f aca="true" t="shared" si="4" ref="R8:R26">R7+Q8+P8</f>
        <v>-4.3150570787544185</v>
      </c>
    </row>
    <row r="9" spans="1:18" ht="12.75">
      <c r="A9">
        <v>3</v>
      </c>
      <c r="B9" s="6">
        <f>+Assumptions!B12-Assumptions!C12</f>
        <v>0.057499999999999996</v>
      </c>
      <c r="C9" s="6">
        <f>Assumptions!D12*Assumptions!E12</f>
        <v>0.812</v>
      </c>
      <c r="D9" s="6">
        <f>+Assumptions!F12</f>
        <v>0.1</v>
      </c>
      <c r="E9" s="6">
        <f aca="true" t="shared" si="5" ref="E9:E27">+E8*(1-D8)*(1-C8/1000)</f>
        <v>0.809179188686093</v>
      </c>
      <c r="F9">
        <v>1000</v>
      </c>
      <c r="G9" s="5">
        <f>'Reserve and Cash Values'!K7</f>
        <v>6.617909661763278</v>
      </c>
      <c r="H9" s="5">
        <f>'Reserve and Cash Values'!L7</f>
        <v>0</v>
      </c>
      <c r="I9" s="5">
        <f>(Answers!D$4+Assumptions!H$31/Assumptions!C$31)*E9</f>
        <v>2.6972639622869767</v>
      </c>
      <c r="J9" s="5">
        <f>+(I9-Assumptions!H$31/Assumptions!C$31)*Assumptions!K12</f>
        <v>0.14183583773721858</v>
      </c>
      <c r="K9" s="5">
        <f>(Assumptions!G12+Assumptions!H12/Assumptions!C$31)*E9+Assumptions!I12*Calculations!I9+Assumptions!J12*Calculations!I9</f>
        <v>0.28321271604013254</v>
      </c>
      <c r="L9" s="5">
        <f t="shared" si="0"/>
        <v>0.6570535012131076</v>
      </c>
      <c r="M9" s="5">
        <f t="shared" si="1"/>
        <v>0</v>
      </c>
      <c r="N9" s="5">
        <f>G9*E10-SUM(N$6:N8)</f>
        <v>2.101791516099644</v>
      </c>
      <c r="O9" s="5">
        <f aca="true" t="shared" si="6" ref="O9:O26">B9*(I9-(J9+K9)-0.5*(K10+L9))</f>
        <v>0.10443991924265857</v>
      </c>
      <c r="P9" s="5">
        <f t="shared" si="2"/>
        <v>-0.24811578202837906</v>
      </c>
      <c r="Q9" s="5">
        <f t="shared" si="3"/>
        <v>-0.30416614874967923</v>
      </c>
      <c r="R9" s="5">
        <f t="shared" si="4"/>
        <v>-4.867339009532477</v>
      </c>
    </row>
    <row r="10" spans="1:18" ht="12.75">
      <c r="A10">
        <v>4</v>
      </c>
      <c r="B10" s="6">
        <f>+Assumptions!B13-Assumptions!C13</f>
        <v>0.057499999999999996</v>
      </c>
      <c r="C10" s="6">
        <f>Assumptions!D13*Assumptions!E13</f>
        <v>0.9688000000000001</v>
      </c>
      <c r="D10" s="6">
        <f>+Assumptions!F13</f>
        <v>0.1</v>
      </c>
      <c r="E10" s="6">
        <f t="shared" si="5"/>
        <v>0.7276699216663918</v>
      </c>
      <c r="F10">
        <v>1000</v>
      </c>
      <c r="G10" s="5">
        <f>'Reserve and Cash Values'!K8</f>
        <v>9.749346845323856</v>
      </c>
      <c r="H10" s="5">
        <f>'Reserve and Cash Values'!L8</f>
        <v>0</v>
      </c>
      <c r="I10" s="5">
        <f>(Answers!D$4+Assumptions!H$31/Assumptions!C$31)*E10</f>
        <v>2.4255664055546395</v>
      </c>
      <c r="J10" s="5">
        <f>+(I10-Assumptions!H$31/Assumptions!C$31)*Assumptions!K13</f>
        <v>0.12553398433327836</v>
      </c>
      <c r="K10" s="5">
        <f>(Assumptions!G13+Assumptions!H13/Assumptions!C$31)*E10+Assumptions!I13*Calculations!I10+Assumptions!J13*Calculations!I10</f>
        <v>0.2546844725832371</v>
      </c>
      <c r="L10" s="5">
        <f t="shared" si="0"/>
        <v>0.7049666201104005</v>
      </c>
      <c r="M10" s="5">
        <f t="shared" si="1"/>
        <v>0</v>
      </c>
      <c r="N10" s="5">
        <f>G10*E11-SUM(N$6:N9)</f>
        <v>1.563036336856774</v>
      </c>
      <c r="O10" s="5">
        <f t="shared" si="6"/>
        <v>0.09075614034438023</v>
      </c>
      <c r="P10" s="5">
        <f t="shared" si="2"/>
        <v>-0.27987199304811744</v>
      </c>
      <c r="Q10" s="5">
        <f t="shared" si="3"/>
        <v>0.006551178913982908</v>
      </c>
      <c r="R10" s="5">
        <f t="shared" si="4"/>
        <v>-5.140659823666612</v>
      </c>
    </row>
    <row r="11" spans="1:18" ht="12.75">
      <c r="A11">
        <v>5</v>
      </c>
      <c r="B11" s="6">
        <f>+Assumptions!B14-Assumptions!C14</f>
        <v>0.057499999999999996</v>
      </c>
      <c r="C11" s="6">
        <f>Assumptions!D14*Assumptions!E14</f>
        <v>1.12</v>
      </c>
      <c r="D11" s="6">
        <f>+Assumptions!F14</f>
        <v>0.1</v>
      </c>
      <c r="E11" s="6">
        <f t="shared" si="5"/>
        <v>0.6542684595416532</v>
      </c>
      <c r="F11">
        <v>1000</v>
      </c>
      <c r="G11" s="5">
        <f>'Reserve and Cash Values'!K9</f>
        <v>12.732977089777222</v>
      </c>
      <c r="H11" s="5">
        <f>'Reserve and Cash Values'!L9</f>
        <v>0</v>
      </c>
      <c r="I11" s="5">
        <f>(Answers!D$4+Assumptions!H$31/Assumptions!C$31)*E11</f>
        <v>2.1808948651388445</v>
      </c>
      <c r="J11" s="5">
        <f>+(I11-Assumptions!H$31/Assumptions!C$31)*Assumptions!K14</f>
        <v>0.11085369190833066</v>
      </c>
      <c r="K11" s="5">
        <f>(Assumptions!G14+Assumptions!H14/Assumptions!C$31)*E11+Assumptions!I14*Calculations!I11+Assumptions!J14*Calculations!I11</f>
        <v>0.22899396083957865</v>
      </c>
      <c r="L11" s="5">
        <f t="shared" si="0"/>
        <v>0.7327806746866516</v>
      </c>
      <c r="M11" s="5">
        <f t="shared" si="1"/>
        <v>0</v>
      </c>
      <c r="N11" s="5">
        <f>G11*E12-SUM(N$6:N10)</f>
        <v>1.1106192017012653</v>
      </c>
      <c r="O11" s="5">
        <f t="shared" si="6"/>
        <v>0.07887418782349857</v>
      </c>
      <c r="P11" s="5">
        <f t="shared" si="2"/>
        <v>-0.29558793986083015</v>
      </c>
      <c r="Q11" s="5">
        <f t="shared" si="3"/>
        <v>0.2599088654098021</v>
      </c>
      <c r="R11" s="5">
        <f t="shared" si="4"/>
        <v>-5.17633889811764</v>
      </c>
    </row>
    <row r="12" spans="1:18" ht="12.75">
      <c r="A12">
        <v>6</v>
      </c>
      <c r="B12" s="6">
        <f>+Assumptions!B15-Assumptions!C15</f>
        <v>0.057499999999999996</v>
      </c>
      <c r="C12" s="6">
        <f>Assumptions!D15*Assumptions!E15</f>
        <v>1.2488000000000001</v>
      </c>
      <c r="D12" s="6">
        <f>+Assumptions!F15</f>
        <v>0.1</v>
      </c>
      <c r="E12" s="6">
        <f t="shared" si="5"/>
        <v>0.58818211098027</v>
      </c>
      <c r="F12">
        <v>1000</v>
      </c>
      <c r="G12" s="5">
        <f>'Reserve and Cash Values'!K10</f>
        <v>15.523067630164334</v>
      </c>
      <c r="H12" s="5">
        <f>'Reserve and Cash Values'!L10</f>
        <v>0</v>
      </c>
      <c r="I12" s="5">
        <f>(Answers!D$4+Assumptions!H$31/Assumptions!C$31)*E12</f>
        <v>1.9606070366008999</v>
      </c>
      <c r="J12" s="5">
        <f>+(I12-Assumptions!H$31/Assumptions!C$31)*Assumptions!K15</f>
        <v>0.09763642219605399</v>
      </c>
      <c r="K12" s="5">
        <f>(Assumptions!G15+Assumptions!H15/Assumptions!C$31)*E12+Assumptions!I15*Calculations!I12+Assumptions!J15*Calculations!I12</f>
        <v>0.20586373884309447</v>
      </c>
      <c r="L12" s="5">
        <f t="shared" si="0"/>
        <v>0.7345218201921612</v>
      </c>
      <c r="M12" s="5">
        <f t="shared" si="1"/>
        <v>0</v>
      </c>
      <c r="N12" s="5">
        <f>G12*E13-SUM(N$6:N11)</f>
        <v>0.7177804464094111</v>
      </c>
      <c r="O12" s="5">
        <f t="shared" si="6"/>
        <v>0.0688460707849451</v>
      </c>
      <c r="P12" s="5">
        <f t="shared" si="2"/>
        <v>-0.29763948664176426</v>
      </c>
      <c r="Q12" s="5">
        <f t="shared" si="3"/>
        <v>0.48896832337732105</v>
      </c>
      <c r="R12" s="5">
        <f t="shared" si="4"/>
        <v>-4.985010061382083</v>
      </c>
    </row>
    <row r="13" spans="1:18" ht="12.75">
      <c r="A13">
        <v>7</v>
      </c>
      <c r="B13" s="6">
        <f>+Assumptions!B16-Assumptions!C16</f>
        <v>0.057499999999999996</v>
      </c>
      <c r="C13" s="6">
        <f>Assumptions!D16*Assumptions!E16</f>
        <v>1.4056</v>
      </c>
      <c r="D13" s="6">
        <f>+Assumptions!F16</f>
        <v>0.1</v>
      </c>
      <c r="E13" s="6">
        <f t="shared" si="5"/>
        <v>0.52870283024407</v>
      </c>
      <c r="F13">
        <v>1000</v>
      </c>
      <c r="G13" s="5">
        <f>'Reserve and Cash Values'!K11</f>
        <v>18.101090103161113</v>
      </c>
      <c r="H13" s="5">
        <f>'Reserve and Cash Values'!L11</f>
        <v>0</v>
      </c>
      <c r="I13" s="5">
        <f>(Answers!D$4+Assumptions!H$31/Assumptions!C$31)*E13</f>
        <v>1.7623427674802337</v>
      </c>
      <c r="J13" s="5">
        <f>+(I13-Assumptions!H$31/Assumptions!C$31)*Assumptions!K16</f>
        <v>0.08574056604881403</v>
      </c>
      <c r="K13" s="5">
        <f>(Assumptions!G16+Assumptions!H16/Assumptions!C$31)*E13+Assumptions!I16*Calculations!I13+Assumptions!J16*Calculations!I13</f>
        <v>0.18504599058542454</v>
      </c>
      <c r="L13" s="5">
        <f t="shared" si="0"/>
        <v>0.7431446981910648</v>
      </c>
      <c r="M13" s="5">
        <f t="shared" si="1"/>
        <v>0</v>
      </c>
      <c r="N13" s="5">
        <f>G13*E14-SUM(N$6:N12)</f>
        <v>0.39389146487431503</v>
      </c>
      <c r="O13" s="5">
        <f t="shared" si="6"/>
        <v>0.05961773714842673</v>
      </c>
      <c r="P13" s="5">
        <f t="shared" si="2"/>
        <v>-0.28663807852946976</v>
      </c>
      <c r="Q13" s="5">
        <f t="shared" si="3"/>
        <v>0.6500916163955094</v>
      </c>
      <c r="R13" s="5">
        <f t="shared" si="4"/>
        <v>-4.621556523516044</v>
      </c>
    </row>
    <row r="14" spans="1:18" ht="12.75">
      <c r="A14">
        <v>8</v>
      </c>
      <c r="B14" s="6">
        <f>+Assumptions!B17-Assumptions!C17</f>
        <v>0.057499999999999996</v>
      </c>
      <c r="C14" s="6">
        <f>Assumptions!D17*Assumptions!E17</f>
        <v>1.5624000000000002</v>
      </c>
      <c r="D14" s="6">
        <f>+Assumptions!F17</f>
        <v>0.1</v>
      </c>
      <c r="E14" s="6">
        <f t="shared" si="5"/>
        <v>0.4751637169912911</v>
      </c>
      <c r="F14">
        <v>1000</v>
      </c>
      <c r="G14" s="5">
        <f>'Reserve and Cash Values'!K12</f>
        <v>20.42763133520345</v>
      </c>
      <c r="H14" s="5">
        <f>'Reserve and Cash Values'!L12</f>
        <v>0</v>
      </c>
      <c r="I14" s="5">
        <f>(Answers!D$4+Assumptions!H$31/Assumptions!C$31)*E14</f>
        <v>1.583879056637637</v>
      </c>
      <c r="J14" s="5">
        <f>+(I14-Assumptions!H$31/Assumptions!C$31)*Assumptions!K17</f>
        <v>0.07503274339825823</v>
      </c>
      <c r="K14" s="5">
        <f>(Assumptions!G17+Assumptions!H17/Assumptions!C$31)*E14+Assumptions!I17*Calculations!I14+Assumptions!J17*Calculations!I14</f>
        <v>0.1663073009469519</v>
      </c>
      <c r="L14" s="5">
        <f t="shared" si="0"/>
        <v>0.7423957914271934</v>
      </c>
      <c r="M14" s="5">
        <f t="shared" si="1"/>
        <v>0</v>
      </c>
      <c r="N14" s="5">
        <f>G14*E15-SUM(N$6:N13)</f>
        <v>0.12119220731555913</v>
      </c>
      <c r="O14" s="5">
        <f t="shared" si="6"/>
        <v>0.05155563611316647</v>
      </c>
      <c r="P14" s="5">
        <f t="shared" si="2"/>
        <v>-0.2657395001021725</v>
      </c>
      <c r="Q14" s="5">
        <f t="shared" si="3"/>
        <v>0.7777848607444449</v>
      </c>
      <c r="R14" s="5">
        <f t="shared" si="4"/>
        <v>-4.109511162873771</v>
      </c>
    </row>
    <row r="15" spans="1:18" ht="12.75">
      <c r="A15">
        <v>9</v>
      </c>
      <c r="B15" s="6">
        <f>+Assumptions!B18-Assumptions!C18</f>
        <v>0.057499999999999996</v>
      </c>
      <c r="C15" s="6">
        <f>Assumptions!D18*Assumptions!E18</f>
        <v>1.7528000000000001</v>
      </c>
      <c r="D15" s="6">
        <f>+Assumptions!F18</f>
        <v>0.1</v>
      </c>
      <c r="E15" s="6">
        <f t="shared" si="5"/>
        <v>0.4269791890798776</v>
      </c>
      <c r="F15">
        <v>1000</v>
      </c>
      <c r="G15" s="5">
        <f>'Reserve and Cash Values'!K13</f>
        <v>22.47080706268443</v>
      </c>
      <c r="H15" s="5">
        <f>'Reserve and Cash Values'!L13</f>
        <v>0</v>
      </c>
      <c r="I15" s="5">
        <f>(Answers!D$4+Assumptions!H$31/Assumptions!C$31)*E15</f>
        <v>1.423263963599592</v>
      </c>
      <c r="J15" s="5">
        <f>+(I15-Assumptions!H$31/Assumptions!C$31)*Assumptions!K18</f>
        <v>0.06539583781597552</v>
      </c>
      <c r="K15" s="5">
        <f>(Assumptions!G18+Assumptions!H18/Assumptions!C$31)*E15+Assumptions!I18*Calculations!I15+Assumptions!J18*Calculations!I15</f>
        <v>0.14944271617795715</v>
      </c>
      <c r="L15" s="5">
        <f t="shared" si="0"/>
        <v>0.7484091226192094</v>
      </c>
      <c r="M15" s="5">
        <f t="shared" si="1"/>
        <v>0</v>
      </c>
      <c r="N15" s="5">
        <f>G15*E16-SUM(N$6:N14)</f>
        <v>-0.10219880379051816</v>
      </c>
      <c r="O15" s="5">
        <f t="shared" si="6"/>
        <v>0.04410764627603522</v>
      </c>
      <c r="P15" s="5">
        <f t="shared" si="2"/>
        <v>-0.2362968918652418</v>
      </c>
      <c r="Q15" s="5">
        <f t="shared" si="3"/>
        <v>0.8570852240949294</v>
      </c>
      <c r="R15" s="5">
        <f t="shared" si="4"/>
        <v>-3.4887228306440834</v>
      </c>
    </row>
    <row r="16" spans="1:18" ht="12.75">
      <c r="A16">
        <v>10</v>
      </c>
      <c r="B16" s="6">
        <f>+Assumptions!B19-Assumptions!C19</f>
        <v>0.057499999999999996</v>
      </c>
      <c r="C16" s="6">
        <f>Assumptions!D19*Assumptions!E19</f>
        <v>1.9656</v>
      </c>
      <c r="D16" s="6">
        <f>+Assumptions!F19</f>
        <v>0.1</v>
      </c>
      <c r="E16" s="6">
        <f t="shared" si="5"/>
        <v>0.38360770196153254</v>
      </c>
      <c r="F16">
        <v>1000</v>
      </c>
      <c r="G16" s="5">
        <f>'Reserve and Cash Values'!K14</f>
        <v>24.167237690054904</v>
      </c>
      <c r="H16" s="5">
        <f>'Reserve and Cash Values'!L14</f>
        <v>0</v>
      </c>
      <c r="I16" s="5">
        <f>(Answers!D$4+Assumptions!H$31/Assumptions!C$31)*E16</f>
        <v>1.278692339871775</v>
      </c>
      <c r="J16" s="5">
        <f>+(I16-Assumptions!H$31/Assumptions!C$31)*Assumptions!K19</f>
        <v>0.05672154039230651</v>
      </c>
      <c r="K16" s="5">
        <f>(Assumptions!G19+Assumptions!H19/Assumptions!C$31)*E16+Assumptions!I19*Calculations!I16+Assumptions!J19*Calculations!I16</f>
        <v>0.1342626956865364</v>
      </c>
      <c r="L16" s="5">
        <f t="shared" si="0"/>
        <v>0.7540192989755884</v>
      </c>
      <c r="M16" s="5">
        <f t="shared" si="1"/>
        <v>0</v>
      </c>
      <c r="N16" s="5">
        <f>G16*E17-SUM(N$6:N15)</f>
        <v>-0.29271030406036935</v>
      </c>
      <c r="O16" s="5">
        <f t="shared" si="6"/>
        <v>0.03739794245893265</v>
      </c>
      <c r="P16" s="5">
        <f t="shared" si="2"/>
        <v>-0.20060156276203478</v>
      </c>
      <c r="Q16" s="5">
        <f t="shared" si="3"/>
        <v>0.9116213227695945</v>
      </c>
      <c r="R16" s="5">
        <f t="shared" si="4"/>
        <v>-2.777703070636524</v>
      </c>
    </row>
    <row r="17" spans="1:18" ht="12.75">
      <c r="A17">
        <v>11</v>
      </c>
      <c r="B17" s="6">
        <f>+Assumptions!B20-Assumptions!C20</f>
        <v>0.057499999999999996</v>
      </c>
      <c r="C17" s="6">
        <f>Assumptions!D20*Assumptions!E20</f>
        <v>2.2064000000000004</v>
      </c>
      <c r="D17" s="6">
        <f>+Assumptions!F20</f>
        <v>0.1</v>
      </c>
      <c r="E17" s="6">
        <f t="shared" si="5"/>
        <v>0.34456831439630126</v>
      </c>
      <c r="F17">
        <v>1000</v>
      </c>
      <c r="G17" s="5">
        <f>'Reserve and Cash Values'!K15</f>
        <v>25.469310375357317</v>
      </c>
      <c r="H17" s="5">
        <f>'Reserve and Cash Values'!L15</f>
        <v>0</v>
      </c>
      <c r="I17" s="5">
        <f>(Answers!D$4+Assumptions!H$31/Assumptions!C$31)*E17</f>
        <v>1.148561047987671</v>
      </c>
      <c r="J17" s="5">
        <f>+(I17-Assumptions!H$31/Assumptions!C$31)*Assumptions!K20</f>
        <v>0.02445683143963013</v>
      </c>
      <c r="K17" s="5">
        <f>(Assumptions!G20+Assumptions!H20/Assumptions!C$31)*E17+Assumptions!I20*Calculations!I17+Assumptions!J20*Calculations!I17</f>
        <v>0.12059891003870543</v>
      </c>
      <c r="L17" s="5">
        <f t="shared" si="0"/>
        <v>0.7602555288839992</v>
      </c>
      <c r="M17" s="5">
        <f t="shared" si="1"/>
        <v>0</v>
      </c>
      <c r="N17" s="5">
        <f>G17*E18-SUM(N$6:N16)</f>
        <v>-0.4463656097179465</v>
      </c>
      <c r="O17" s="5">
        <f t="shared" si="6"/>
        <v>0.03273059693575376</v>
      </c>
      <c r="P17" s="5">
        <f t="shared" si="2"/>
        <v>-0.1597179265616001</v>
      </c>
      <c r="Q17" s="5">
        <f t="shared" si="3"/>
        <v>0.9617548344702496</v>
      </c>
      <c r="R17" s="5">
        <f t="shared" si="4"/>
        <v>-1.9756661627278747</v>
      </c>
    </row>
    <row r="18" spans="1:18" ht="12.75">
      <c r="A18">
        <v>12</v>
      </c>
      <c r="B18" s="6">
        <f>+Assumptions!B21-Assumptions!C21</f>
        <v>0.057499999999999996</v>
      </c>
      <c r="C18" s="6">
        <f>Assumptions!D21*Assumptions!E21</f>
        <v>2.5032</v>
      </c>
      <c r="D18" s="6">
        <f>+Assumptions!F21</f>
        <v>0.1</v>
      </c>
      <c r="E18" s="6">
        <f t="shared" si="5"/>
        <v>0.3094272529806755</v>
      </c>
      <c r="F18">
        <v>1000</v>
      </c>
      <c r="G18" s="5">
        <f>'Reserve and Cash Values'!K16</f>
        <v>26.267339198454913</v>
      </c>
      <c r="H18" s="5">
        <f>'Reserve and Cash Values'!L16</f>
        <v>0</v>
      </c>
      <c r="I18" s="5">
        <f>(Answers!D$4+Assumptions!H$31/Assumptions!C$31)*E18</f>
        <v>1.0314241766022518</v>
      </c>
      <c r="J18" s="5">
        <f>+(I18-Assumptions!H$31/Assumptions!C$31)*Assumptions!K21</f>
        <v>0.020942725298067556</v>
      </c>
      <c r="K18" s="5">
        <f>(Assumptions!G21+Assumptions!H21/Assumptions!C$31)*E18+Assumptions!I21*Calculations!I18+Assumptions!J21*Calculations!I18</f>
        <v>0.10829953854323644</v>
      </c>
      <c r="L18" s="5">
        <f t="shared" si="0"/>
        <v>0.774558299661227</v>
      </c>
      <c r="M18" s="5">
        <f t="shared" si="1"/>
        <v>0</v>
      </c>
      <c r="N18" s="5">
        <f>G18*E19-SUM(N$6:N17)</f>
        <v>-0.5841622216260234</v>
      </c>
      <c r="O18" s="5">
        <f t="shared" si="6"/>
        <v>0.026811672902289287</v>
      </c>
      <c r="P18" s="5">
        <f t="shared" si="2"/>
        <v>-0.11360080435685278</v>
      </c>
      <c r="Q18" s="5">
        <f t="shared" si="3"/>
        <v>0.9651733465398555</v>
      </c>
      <c r="R18" s="5">
        <f t="shared" si="4"/>
        <v>-1.124093620544872</v>
      </c>
    </row>
    <row r="19" spans="1:18" ht="12.75">
      <c r="A19">
        <v>13</v>
      </c>
      <c r="B19" s="6">
        <f>+Assumptions!B22-Assumptions!C22</f>
        <v>0.057499999999999996</v>
      </c>
      <c r="C19" s="6">
        <f>Assumptions!D22*Assumptions!E22</f>
        <v>2.8728000000000002</v>
      </c>
      <c r="D19" s="6">
        <f>+Assumptions!F22</f>
        <v>0.1</v>
      </c>
      <c r="E19" s="6">
        <f t="shared" si="5"/>
        <v>0.2777874252129129</v>
      </c>
      <c r="F19">
        <v>1000</v>
      </c>
      <c r="G19" s="5">
        <f>'Reserve and Cash Values'!K17</f>
        <v>26.4641727012607</v>
      </c>
      <c r="H19" s="5">
        <f>'Reserve and Cash Values'!L17</f>
        <v>0</v>
      </c>
      <c r="I19" s="5">
        <f>(Answers!D$4+Assumptions!H$31/Assumptions!C$31)*E19</f>
        <v>0.925958084043043</v>
      </c>
      <c r="J19" s="5">
        <f>+(I19-Assumptions!H$31/Assumptions!C$31)*Assumptions!K22</f>
        <v>0.01777874252129129</v>
      </c>
      <c r="K19" s="5">
        <f>(Assumptions!G22+Assumptions!H22/Assumptions!C$31)*E19+Assumptions!I22*Calculations!I19+Assumptions!J22*Calculations!I19</f>
        <v>0.09722559882451952</v>
      </c>
      <c r="L19" s="5">
        <f t="shared" si="0"/>
        <v>0.7980277151516562</v>
      </c>
      <c r="M19" s="5">
        <f t="shared" si="1"/>
        <v>0</v>
      </c>
      <c r="N19" s="5">
        <f>G19*E20-SUM(N$6:N18)</f>
        <v>-0.6994707965139968</v>
      </c>
      <c r="O19" s="5">
        <f t="shared" si="6"/>
        <v>0.021178058163391637</v>
      </c>
      <c r="P19" s="5">
        <f t="shared" si="2"/>
        <v>-0.06463538318133014</v>
      </c>
      <c r="Q19" s="5">
        <f t="shared" si="3"/>
        <v>0.9433560572630385</v>
      </c>
      <c r="R19" s="5">
        <f t="shared" si="4"/>
        <v>-0.24537294646316357</v>
      </c>
    </row>
    <row r="20" spans="1:18" ht="12.75">
      <c r="A20">
        <v>14</v>
      </c>
      <c r="B20" s="6">
        <f>+Assumptions!B23-Assumptions!C23</f>
        <v>0.057499999999999996</v>
      </c>
      <c r="C20" s="6">
        <f>Assumptions!D23*Assumptions!E23</f>
        <v>3.2592000000000003</v>
      </c>
      <c r="D20" s="6">
        <f>+Assumptions!F23</f>
        <v>0.1</v>
      </c>
      <c r="E20" s="6">
        <f t="shared" si="5"/>
        <v>0.24929045774798514</v>
      </c>
      <c r="F20">
        <v>1000</v>
      </c>
      <c r="G20" s="5">
        <f>'Reserve and Cash Values'!K18</f>
        <v>25.936096464712392</v>
      </c>
      <c r="H20" s="5">
        <f>'Reserve and Cash Values'!L18</f>
        <v>0</v>
      </c>
      <c r="I20" s="5">
        <f>(Answers!D$4+Assumptions!H$31/Assumptions!C$31)*E20</f>
        <v>0.8309681924932838</v>
      </c>
      <c r="J20" s="5">
        <f>+(I20-Assumptions!H$31/Assumptions!C$31)*Assumptions!K23</f>
        <v>0.014929045774798514</v>
      </c>
      <c r="K20" s="5">
        <f>(Assumptions!G23+Assumptions!H23/Assumptions!C$31)*E20+Assumptions!I23*Calculations!I20+Assumptions!J23*Calculations!I20</f>
        <v>0.0872516602117948</v>
      </c>
      <c r="L20" s="5">
        <f t="shared" si="0"/>
        <v>0.8124874598922333</v>
      </c>
      <c r="M20" s="5">
        <f t="shared" si="1"/>
        <v>0</v>
      </c>
      <c r="N20" s="5">
        <f>G20*E21-SUM(N$6:N19)</f>
        <v>-0.7971719805458868</v>
      </c>
      <c r="O20" s="5">
        <f t="shared" si="6"/>
        <v>0.016295987383811453</v>
      </c>
      <c r="P20" s="5">
        <f t="shared" si="2"/>
        <v>-0.014108944421631905</v>
      </c>
      <c r="Q20" s="5">
        <f t="shared" si="3"/>
        <v>0.9194393841844521</v>
      </c>
      <c r="R20" s="5">
        <f t="shared" si="4"/>
        <v>0.6599574932996567</v>
      </c>
    </row>
    <row r="21" spans="1:18" ht="12.75">
      <c r="A21">
        <v>15</v>
      </c>
      <c r="B21" s="6">
        <f>+Assumptions!B24-Assumptions!C24</f>
        <v>0.057499999999999996</v>
      </c>
      <c r="C21" s="6">
        <f>Assumptions!D24*Assumptions!E24</f>
        <v>3.6288000000000005</v>
      </c>
      <c r="D21" s="6">
        <f>+Assumptions!F24</f>
        <v>0.1</v>
      </c>
      <c r="E21" s="6">
        <f t="shared" si="5"/>
        <v>0.2236301732592836</v>
      </c>
      <c r="F21">
        <v>1000</v>
      </c>
      <c r="G21" s="5">
        <f>'Reserve and Cash Values'!K19</f>
        <v>24.540318460612472</v>
      </c>
      <c r="H21" s="5">
        <f>'Reserve and Cash Values'!L19</f>
        <v>0</v>
      </c>
      <c r="I21" s="5">
        <f>(Answers!D$4+Assumptions!H$31/Assumptions!C$31)*E21</f>
        <v>0.7454339108642787</v>
      </c>
      <c r="J21" s="5">
        <f>+(I21-Assumptions!H$31/Assumptions!C$31)*Assumptions!K24</f>
        <v>0.012363017325928361</v>
      </c>
      <c r="K21" s="5">
        <f>(Assumptions!G24+Assumptions!H24/Assumptions!C$31)*E21+Assumptions!I24*Calculations!I21+Assumptions!J24*Calculations!I21</f>
        <v>0.07827056064074926</v>
      </c>
      <c r="L21" s="5">
        <f t="shared" si="0"/>
        <v>0.8115091727232886</v>
      </c>
      <c r="M21" s="5">
        <f t="shared" si="1"/>
        <v>0</v>
      </c>
      <c r="N21" s="5">
        <f>G21*E22-SUM(N$6:N20)</f>
        <v>-0.8788568679859425</v>
      </c>
      <c r="O21" s="5">
        <f t="shared" si="6"/>
        <v>0.012302228899183601</v>
      </c>
      <c r="P21" s="5">
        <f t="shared" si="2"/>
        <v>0.037947555864730254</v>
      </c>
      <c r="Q21" s="5">
        <f t="shared" si="3"/>
        <v>0.901202952259041</v>
      </c>
      <c r="R21" s="5">
        <f t="shared" si="4"/>
        <v>1.5991080014234278</v>
      </c>
    </row>
    <row r="22" spans="1:18" ht="12.75">
      <c r="A22">
        <v>16</v>
      </c>
      <c r="B22" s="6">
        <f>+Assumptions!B25-Assumptions!C25</f>
        <v>0.057499999999999996</v>
      </c>
      <c r="C22" s="6">
        <f>Assumptions!D25*Assumptions!E25</f>
        <v>4.0712</v>
      </c>
      <c r="D22" s="6">
        <f>+Assumptions!F25</f>
        <v>0.1</v>
      </c>
      <c r="E22" s="6">
        <f t="shared" si="5"/>
        <v>0.2005367976779043</v>
      </c>
      <c r="F22">
        <v>1000</v>
      </c>
      <c r="G22" s="5">
        <f>'Reserve and Cash Values'!K20</f>
        <v>22.162184180190696</v>
      </c>
      <c r="H22" s="5">
        <f>'Reserve and Cash Values'!L20</f>
        <v>0</v>
      </c>
      <c r="I22" s="5">
        <f>(Answers!D$4+Assumptions!H$31/Assumptions!C$31)*E22</f>
        <v>0.668455992259681</v>
      </c>
      <c r="J22" s="5">
        <f>+(I22-Assumptions!H$31/Assumptions!C$31)*Assumptions!K25</f>
        <v>0.01005367976779043</v>
      </c>
      <c r="K22" s="5">
        <f>(Assumptions!G25+Assumptions!H25/Assumptions!C$31)*E22+Assumptions!I25*Calculations!I22+Assumptions!J25*Calculations!I22</f>
        <v>0.0701878791872665</v>
      </c>
      <c r="L22" s="5">
        <f t="shared" si="0"/>
        <v>0.816425410706284</v>
      </c>
      <c r="M22" s="5">
        <f t="shared" si="1"/>
        <v>0</v>
      </c>
      <c r="N22" s="5">
        <f>G22*E23-SUM(N$6:N21)</f>
        <v>-0.9376211708374798</v>
      </c>
      <c r="O22" s="5">
        <f t="shared" si="6"/>
        <v>0.008541381735865407</v>
      </c>
      <c r="P22" s="5">
        <f t="shared" si="2"/>
        <v>0.09194871008184709</v>
      </c>
      <c r="Q22" s="5">
        <f t="shared" si="3"/>
        <v>0.8594371354166915</v>
      </c>
      <c r="R22" s="5">
        <f t="shared" si="4"/>
        <v>2.5504938469219662</v>
      </c>
    </row>
    <row r="23" spans="1:18" ht="12.75">
      <c r="A23">
        <v>17</v>
      </c>
      <c r="B23" s="6">
        <f>+Assumptions!B26-Assumptions!C26</f>
        <v>0.057499999999999996</v>
      </c>
      <c r="C23" s="6">
        <f>Assumptions!D26*Assumptions!E26</f>
        <v>4.485600000000001</v>
      </c>
      <c r="D23" s="6">
        <f>+Assumptions!F26</f>
        <v>0.1</v>
      </c>
      <c r="E23" s="6">
        <f t="shared" si="5"/>
        <v>0.1797483350404782</v>
      </c>
      <c r="F23">
        <v>1000</v>
      </c>
      <c r="G23" s="5">
        <f>'Reserve and Cash Values'!K21</f>
        <v>18.656913344306986</v>
      </c>
      <c r="H23" s="5">
        <f>'Reserve and Cash Values'!L21</f>
        <v>0</v>
      </c>
      <c r="I23" s="5">
        <f>(Answers!D$4+Assumptions!H$31/Assumptions!C$31)*E23</f>
        <v>0.5991611168015941</v>
      </c>
      <c r="J23" s="5">
        <f>+(I23-Assumptions!H$31/Assumptions!C$31)*Assumptions!K26</f>
        <v>0.007974833504047823</v>
      </c>
      <c r="K23" s="5">
        <f>(Assumptions!G26+Assumptions!H26/Assumptions!C$31)*E23+Assumptions!I26*Calculations!I23+Assumptions!J26*Calculations!I23</f>
        <v>0.06291191726416738</v>
      </c>
      <c r="L23" s="5">
        <f t="shared" si="0"/>
        <v>0.8062791316575693</v>
      </c>
      <c r="M23" s="5">
        <f t="shared" si="1"/>
        <v>0</v>
      </c>
      <c r="N23" s="5">
        <f>G23*E24-SUM(N$6:N22)</f>
        <v>-0.9789599195810008</v>
      </c>
      <c r="O23" s="5">
        <f t="shared" si="6"/>
        <v>0.005574707017939918</v>
      </c>
      <c r="P23" s="5">
        <f t="shared" si="2"/>
        <v>0.14665339619801304</v>
      </c>
      <c r="Q23" s="5">
        <f t="shared" si="3"/>
        <v>0.8210588125581795</v>
      </c>
      <c r="R23" s="5">
        <f t="shared" si="4"/>
        <v>3.5182060556781587</v>
      </c>
    </row>
    <row r="24" spans="1:18" ht="12.75">
      <c r="A24">
        <v>18</v>
      </c>
      <c r="B24" s="6">
        <f>+Assumptions!B27-Assumptions!C27</f>
        <v>0.057499999999999996</v>
      </c>
      <c r="C24" s="6">
        <f>Assumptions!D27*Assumptions!E27</f>
        <v>4.9392000000000005</v>
      </c>
      <c r="D24" s="6">
        <f>+Assumptions!F27</f>
        <v>0.1</v>
      </c>
      <c r="E24" s="6">
        <f t="shared" si="5"/>
        <v>0.16104785031793858</v>
      </c>
      <c r="F24">
        <v>1000</v>
      </c>
      <c r="G24" s="5">
        <f>'Reserve and Cash Values'!K22</f>
        <v>13.906259926181338</v>
      </c>
      <c r="H24" s="5">
        <f>'Reserve and Cash Values'!L22</f>
        <v>0</v>
      </c>
      <c r="I24" s="5">
        <f>(Answers!D$4+Assumptions!H$31/Assumptions!C$31)*E24</f>
        <v>0.536826167726462</v>
      </c>
      <c r="J24" s="5">
        <f>+(I24-Assumptions!H$31/Assumptions!C$31)*Assumptions!K27</f>
        <v>0.006104785031793859</v>
      </c>
      <c r="K24" s="5">
        <f>(Assumptions!G27+Assumptions!H27/Assumptions!C$31)*E24+Assumptions!I27*Calculations!I24+Assumptions!J27*Calculations!I24</f>
        <v>0.05636674761127851</v>
      </c>
      <c r="L24" s="5">
        <f t="shared" si="0"/>
        <v>0.7954475422903623</v>
      </c>
      <c r="M24" s="5">
        <f t="shared" si="1"/>
        <v>0</v>
      </c>
      <c r="N24" s="5">
        <f>G24*E25-SUM(N$6:N23)</f>
        <v>-0.9989953775547611</v>
      </c>
      <c r="O24" s="5">
        <f t="shared" si="6"/>
        <v>0.0029549888538100205</v>
      </c>
      <c r="P24" s="5">
        <f t="shared" si="2"/>
        <v>0.2022968482014941</v>
      </c>
      <c r="Q24" s="5">
        <f t="shared" si="3"/>
        <v>0.7672413130970736</v>
      </c>
      <c r="R24" s="5">
        <f t="shared" si="4"/>
        <v>4.4877442169767265</v>
      </c>
    </row>
    <row r="25" spans="1:18" ht="12.75">
      <c r="A25">
        <v>19</v>
      </c>
      <c r="B25" s="6">
        <f>+Assumptions!B28-Assumptions!C28</f>
        <v>0.057499999999999996</v>
      </c>
      <c r="C25" s="6">
        <f>Assumptions!D28*Assumptions!E28</f>
        <v>5.448800000000001</v>
      </c>
      <c r="D25" s="6">
        <f>+Assumptions!F28</f>
        <v>0.1</v>
      </c>
      <c r="E25" s="6">
        <f t="shared" si="5"/>
        <v>0.1442271624980834</v>
      </c>
      <c r="F25">
        <v>1000</v>
      </c>
      <c r="G25" s="5">
        <f>'Reserve and Cash Values'!K23</f>
        <v>7.749703116018091</v>
      </c>
      <c r="H25" s="5">
        <f>'Reserve and Cash Values'!L23</f>
        <v>0</v>
      </c>
      <c r="I25" s="5">
        <f>(Answers!D$4+Assumptions!H$31/Assumptions!C$31)*E25</f>
        <v>0.4807572083269447</v>
      </c>
      <c r="J25" s="5">
        <f>+(I25-Assumptions!H$31/Assumptions!C$31)*Assumptions!K28</f>
        <v>0.004422716249808341</v>
      </c>
      <c r="K25" s="5">
        <f>(Assumptions!G28+Assumptions!H28/Assumptions!C$31)*E25+Assumptions!I28*Calculations!I25+Assumptions!J28*Calculations!I25</f>
        <v>0.050479506874329186</v>
      </c>
      <c r="L25" s="5">
        <f t="shared" si="0"/>
        <v>0.785864963019557</v>
      </c>
      <c r="M25" s="5">
        <f t="shared" si="1"/>
        <v>0</v>
      </c>
      <c r="N25" s="5">
        <f>G25*E26-SUM(N$6:N24)</f>
        <v>-1.0051956866880951</v>
      </c>
      <c r="O25" s="5">
        <f t="shared" si="6"/>
        <v>0.0005940037115472272</v>
      </c>
      <c r="P25" s="5">
        <f t="shared" si="2"/>
        <v>0.25804529247616176</v>
      </c>
      <c r="Q25" s="5">
        <f t="shared" si="3"/>
        <v>0.7034424493736684</v>
      </c>
      <c r="R25" s="5">
        <f t="shared" si="4"/>
        <v>5.449231958826557</v>
      </c>
    </row>
    <row r="26" spans="1:18" ht="12.75">
      <c r="A26">
        <v>20</v>
      </c>
      <c r="B26" s="6">
        <f>+Assumptions!B29-Assumptions!C29</f>
        <v>0.057499999999999996</v>
      </c>
      <c r="C26" s="6">
        <f>Assumptions!D29*Assumptions!E29</f>
        <v>6.0200000000000005</v>
      </c>
      <c r="D26" s="6">
        <f>+Assumptions!F29</f>
        <v>0.1</v>
      </c>
      <c r="E26" s="6">
        <f t="shared" si="5"/>
        <v>0.12909716778155744</v>
      </c>
      <c r="F26">
        <v>1000</v>
      </c>
      <c r="G26" s="5">
        <f>'Reserve and Cash Values'!K24</f>
        <v>0</v>
      </c>
      <c r="H26" s="5">
        <f>'Reserve and Cash Values'!L24</f>
        <v>0</v>
      </c>
      <c r="I26" s="5">
        <f>(Answers!D$4+Assumptions!H$31/Assumptions!C$31)*E26</f>
        <v>0.4303238926051915</v>
      </c>
      <c r="J26" s="5">
        <f>+(I26-Assumptions!H$31/Assumptions!C$31)*Assumptions!K29</f>
        <v>0.0029097167781557453</v>
      </c>
      <c r="K26" s="5">
        <f>(Assumptions!G29+Assumptions!H29/Assumptions!C$31)*E26+Assumptions!I29*Calculations!I26+Assumptions!J29*Calculations!I26</f>
        <v>0.04518400872354511</v>
      </c>
      <c r="L26" s="5">
        <f t="shared" si="0"/>
        <v>0.7771649500449758</v>
      </c>
      <c r="M26" s="5">
        <f t="shared" si="1"/>
        <v>0</v>
      </c>
      <c r="N26" s="5">
        <f>G26*E27-SUM(N$6:N25)</f>
        <v>-1.0004647234258461</v>
      </c>
      <c r="O26" s="5">
        <f t="shared" si="6"/>
        <v>-0.0003652577053423429</v>
      </c>
      <c r="P26" s="5">
        <f t="shared" si="2"/>
        <v>0.313330837632527</v>
      </c>
      <c r="Q26" s="5">
        <f t="shared" si="3"/>
        <v>0.6339280435775118</v>
      </c>
      <c r="R26" s="5">
        <f t="shared" si="4"/>
        <v>6.396490840036595</v>
      </c>
    </row>
    <row r="27" spans="2:5" ht="12.75">
      <c r="B27" s="6"/>
      <c r="C27" s="6"/>
      <c r="D27" s="6"/>
      <c r="E27" s="6">
        <f t="shared" si="5"/>
        <v>0.11548800254836122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L2" sqref="L2"/>
    </sheetView>
  </sheetViews>
  <sheetFormatPr defaultColWidth="9.140625" defaultRowHeight="12.75"/>
  <cols>
    <col min="3" max="3" width="9.7109375" style="0" bestFit="1" customWidth="1"/>
    <col min="4" max="4" width="12.8515625" style="0" bestFit="1" customWidth="1"/>
    <col min="5" max="5" width="10.421875" style="0" customWidth="1"/>
    <col min="6" max="6" width="12.8515625" style="0" bestFit="1" customWidth="1"/>
    <col min="7" max="7" width="13.8515625" style="0" bestFit="1" customWidth="1"/>
    <col min="8" max="8" width="9.28125" style="0" bestFit="1" customWidth="1"/>
    <col min="9" max="9" width="10.28125" style="0" bestFit="1" customWidth="1"/>
  </cols>
  <sheetData>
    <row r="1" spans="1:2" ht="12.75">
      <c r="A1" t="s">
        <v>47</v>
      </c>
      <c r="B1">
        <v>0.05</v>
      </c>
    </row>
    <row r="3" spans="2:12" ht="12.75">
      <c r="B3" t="s">
        <v>6</v>
      </c>
      <c r="C3" t="s">
        <v>45</v>
      </c>
      <c r="D3" t="s">
        <v>48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46</v>
      </c>
      <c r="L3" t="s">
        <v>55</v>
      </c>
    </row>
    <row r="4" spans="1:12" ht="12.75">
      <c r="A4">
        <v>0</v>
      </c>
      <c r="B4" s="6">
        <v>3.02</v>
      </c>
      <c r="C4" s="7">
        <v>1</v>
      </c>
      <c r="D4" s="5">
        <v>1000000</v>
      </c>
      <c r="E4" s="5">
        <f>+D4*B4/1000</f>
        <v>3020</v>
      </c>
      <c r="F4" s="5">
        <f>D4*C4</f>
        <v>1000000</v>
      </c>
      <c r="G4" s="5">
        <f aca="true" t="shared" si="0" ref="G4:I23">G5+F4</f>
        <v>12904975.606475566</v>
      </c>
      <c r="H4" s="5">
        <f>E4*C5</f>
        <v>2876.190476190476</v>
      </c>
      <c r="I4" s="5">
        <f t="shared" si="0"/>
        <v>81002.92355633565</v>
      </c>
      <c r="J4" s="5">
        <f>(I5-I24)/(G5-G24)*1000</f>
        <v>6.316963550648573</v>
      </c>
      <c r="K4" s="5">
        <f>1000*((I4-I$24)/F4)-J$4*((G4-G$24)/F4)</f>
        <v>-3.440773074458093</v>
      </c>
      <c r="L4" s="5">
        <v>0</v>
      </c>
    </row>
    <row r="5" spans="1:12" ht="12.75">
      <c r="A5">
        <v>1</v>
      </c>
      <c r="B5" s="6">
        <v>3.29</v>
      </c>
      <c r="C5" s="7">
        <f>1/(1+B1)</f>
        <v>0.9523809523809523</v>
      </c>
      <c r="D5" s="5">
        <f>D4-E4</f>
        <v>996980</v>
      </c>
      <c r="E5" s="5">
        <f>+D5*B5/1000</f>
        <v>3280.0642000000003</v>
      </c>
      <c r="F5" s="5">
        <f aca="true" t="shared" si="1" ref="F5:F24">D5*C5</f>
        <v>949504.7619047619</v>
      </c>
      <c r="G5" s="5">
        <f t="shared" si="0"/>
        <v>11904975.606475566</v>
      </c>
      <c r="H5" s="5">
        <f aca="true" t="shared" si="2" ref="H5:H24">E5*C6</f>
        <v>2975.1149206349205</v>
      </c>
      <c r="I5" s="5">
        <f t="shared" si="0"/>
        <v>78126.73308014518</v>
      </c>
      <c r="J5" s="5"/>
      <c r="K5" s="5">
        <f aca="true" t="shared" si="3" ref="K5:K24">1000*((I5-I$24)/F5)-J$4*((G5-G$24)/F5)</f>
        <v>0</v>
      </c>
      <c r="L5" s="5">
        <v>0</v>
      </c>
    </row>
    <row r="6" spans="1:12" ht="12.75">
      <c r="A6">
        <v>2</v>
      </c>
      <c r="B6" s="6">
        <v>3.56</v>
      </c>
      <c r="C6" s="7">
        <f>+C5/(1+B$1)</f>
        <v>0.9070294784580498</v>
      </c>
      <c r="D6" s="5">
        <f aca="true" t="shared" si="4" ref="D6:D24">D5-E5</f>
        <v>993699.9358</v>
      </c>
      <c r="E6" s="5">
        <f aca="true" t="shared" si="5" ref="E6:E24">+D6*B6/1000</f>
        <v>3537.5717714479997</v>
      </c>
      <c r="F6" s="5">
        <f t="shared" si="1"/>
        <v>901315.1345124716</v>
      </c>
      <c r="G6" s="5">
        <f t="shared" si="0"/>
        <v>10955470.844570804</v>
      </c>
      <c r="H6" s="5">
        <f t="shared" si="2"/>
        <v>3055.8875036803797</v>
      </c>
      <c r="I6" s="5">
        <f t="shared" si="0"/>
        <v>75151.61815951025</v>
      </c>
      <c r="J6" s="5"/>
      <c r="K6" s="5">
        <f t="shared" si="3"/>
        <v>3.3538458811299137</v>
      </c>
      <c r="L6" s="5">
        <v>0</v>
      </c>
    </row>
    <row r="7" spans="1:12" ht="12.75">
      <c r="A7">
        <v>3</v>
      </c>
      <c r="B7" s="6">
        <v>3.87</v>
      </c>
      <c r="C7" s="7">
        <f aca="true" t="shared" si="6" ref="C7:C25">+C6/(1+B$1)</f>
        <v>0.863837598531476</v>
      </c>
      <c r="D7" s="5">
        <f t="shared" si="4"/>
        <v>990162.364028552</v>
      </c>
      <c r="E7" s="5">
        <f t="shared" si="5"/>
        <v>3831.9283487904963</v>
      </c>
      <c r="F7" s="5">
        <f t="shared" si="1"/>
        <v>855339.4786986734</v>
      </c>
      <c r="G7" s="5">
        <f t="shared" si="0"/>
        <v>10054155.710058333</v>
      </c>
      <c r="H7" s="5">
        <f t="shared" si="2"/>
        <v>3152.5369357751106</v>
      </c>
      <c r="I7" s="5">
        <f t="shared" si="0"/>
        <v>72095.73065582987</v>
      </c>
      <c r="J7" s="5"/>
      <c r="K7" s="5">
        <f t="shared" si="3"/>
        <v>6.617909661763278</v>
      </c>
      <c r="L7" s="5">
        <v>0</v>
      </c>
    </row>
    <row r="8" spans="1:12" ht="12.75">
      <c r="A8">
        <v>4</v>
      </c>
      <c r="B8" s="6">
        <v>4.19</v>
      </c>
      <c r="C8" s="7">
        <f t="shared" si="6"/>
        <v>0.8227024747918819</v>
      </c>
      <c r="D8" s="5">
        <f t="shared" si="4"/>
        <v>986330.4356797615</v>
      </c>
      <c r="E8" s="5">
        <f t="shared" si="5"/>
        <v>4132.724525498201</v>
      </c>
      <c r="F8" s="5">
        <f t="shared" si="1"/>
        <v>811456.4903962947</v>
      </c>
      <c r="G8" s="5">
        <f t="shared" si="0"/>
        <v>9198816.23135966</v>
      </c>
      <c r="H8" s="5">
        <f t="shared" si="2"/>
        <v>3238.097804533786</v>
      </c>
      <c r="I8" s="5">
        <f t="shared" si="0"/>
        <v>68943.19372005477</v>
      </c>
      <c r="J8" s="5"/>
      <c r="K8" s="5">
        <f t="shared" si="3"/>
        <v>9.749346845323856</v>
      </c>
      <c r="L8" s="5">
        <v>0</v>
      </c>
    </row>
    <row r="9" spans="1:12" ht="12.75">
      <c r="A9">
        <v>5</v>
      </c>
      <c r="B9" s="6">
        <v>4.55</v>
      </c>
      <c r="C9" s="7">
        <f t="shared" si="6"/>
        <v>0.7835261664684589</v>
      </c>
      <c r="D9" s="5">
        <f t="shared" si="4"/>
        <v>982197.7111542632</v>
      </c>
      <c r="E9" s="5">
        <f t="shared" si="5"/>
        <v>4468.999585751898</v>
      </c>
      <c r="F9" s="5">
        <f t="shared" si="1"/>
        <v>769577.6073347945</v>
      </c>
      <c r="G9" s="5">
        <f t="shared" si="0"/>
        <v>8387359.740963366</v>
      </c>
      <c r="H9" s="5">
        <f t="shared" si="2"/>
        <v>3334.836298450776</v>
      </c>
      <c r="I9" s="5">
        <f t="shared" si="0"/>
        <v>65705.09591552099</v>
      </c>
      <c r="J9" s="5"/>
      <c r="K9" s="5">
        <f t="shared" si="3"/>
        <v>12.732977089777222</v>
      </c>
      <c r="L9" s="5">
        <v>0</v>
      </c>
    </row>
    <row r="10" spans="1:12" ht="12.75">
      <c r="A10">
        <v>6</v>
      </c>
      <c r="B10" s="6">
        <v>4.92</v>
      </c>
      <c r="C10" s="7">
        <f t="shared" si="6"/>
        <v>0.7462153966366274</v>
      </c>
      <c r="D10" s="5">
        <f t="shared" si="4"/>
        <v>977728.7115685113</v>
      </c>
      <c r="E10" s="5">
        <f t="shared" si="5"/>
        <v>4810.425260917076</v>
      </c>
      <c r="F10" s="5">
        <f t="shared" si="1"/>
        <v>729596.2183061154</v>
      </c>
      <c r="G10" s="5">
        <f t="shared" si="0"/>
        <v>7617782.133628571</v>
      </c>
      <c r="H10" s="5">
        <f t="shared" si="2"/>
        <v>3418.679422920083</v>
      </c>
      <c r="I10" s="5">
        <f t="shared" si="0"/>
        <v>62370.259617070216</v>
      </c>
      <c r="J10" s="5"/>
      <c r="K10" s="5">
        <f t="shared" si="3"/>
        <v>15.523067630164334</v>
      </c>
      <c r="L10" s="5">
        <v>0</v>
      </c>
    </row>
    <row r="11" spans="1:12" ht="12.75">
      <c r="A11">
        <v>7</v>
      </c>
      <c r="B11" s="6">
        <v>5.32</v>
      </c>
      <c r="C11" s="7">
        <f t="shared" si="6"/>
        <v>0.7106813301301212</v>
      </c>
      <c r="D11" s="5">
        <f t="shared" si="4"/>
        <v>972918.2863075943</v>
      </c>
      <c r="E11" s="5">
        <f t="shared" si="5"/>
        <v>5175.925283156402</v>
      </c>
      <c r="F11" s="5">
        <f t="shared" si="1"/>
        <v>691434.8618209992</v>
      </c>
      <c r="G11" s="5">
        <f t="shared" si="0"/>
        <v>6888185.9153224565</v>
      </c>
      <c r="H11" s="5">
        <f t="shared" si="2"/>
        <v>3503.2699665597297</v>
      </c>
      <c r="I11" s="5">
        <f t="shared" si="0"/>
        <v>58951.580194150134</v>
      </c>
      <c r="J11" s="5"/>
      <c r="K11" s="5">
        <f t="shared" si="3"/>
        <v>18.101090103161113</v>
      </c>
      <c r="L11" s="5">
        <v>0</v>
      </c>
    </row>
    <row r="12" spans="1:12" ht="12.75">
      <c r="A12">
        <v>8</v>
      </c>
      <c r="B12" s="6">
        <v>5.74</v>
      </c>
      <c r="C12" s="7">
        <f t="shared" si="6"/>
        <v>0.6768393620286869</v>
      </c>
      <c r="D12" s="5">
        <f t="shared" si="4"/>
        <v>967742.3610244378</v>
      </c>
      <c r="E12" s="5">
        <f t="shared" si="5"/>
        <v>5554.841152280273</v>
      </c>
      <c r="F12" s="5">
        <f t="shared" si="1"/>
        <v>655006.1222439157</v>
      </c>
      <c r="G12" s="5">
        <f t="shared" si="0"/>
        <v>6196751.053501457</v>
      </c>
      <c r="H12" s="5">
        <f t="shared" si="2"/>
        <v>3580.7001349334055</v>
      </c>
      <c r="I12" s="5">
        <f t="shared" si="0"/>
        <v>55448.3102275904</v>
      </c>
      <c r="J12" s="5"/>
      <c r="K12" s="5">
        <f t="shared" si="3"/>
        <v>20.42763133520345</v>
      </c>
      <c r="L12" s="5">
        <v>0</v>
      </c>
    </row>
    <row r="13" spans="1:12" ht="12.75">
      <c r="A13">
        <v>9</v>
      </c>
      <c r="B13" s="6">
        <v>6.21</v>
      </c>
      <c r="C13" s="7">
        <f t="shared" si="6"/>
        <v>0.644608916217797</v>
      </c>
      <c r="D13" s="5">
        <f t="shared" si="4"/>
        <v>962187.5198721576</v>
      </c>
      <c r="E13" s="5">
        <f t="shared" si="5"/>
        <v>5975.184498406098</v>
      </c>
      <c r="F13" s="5">
        <f t="shared" si="1"/>
        <v>620234.6543830816</v>
      </c>
      <c r="G13" s="5">
        <f t="shared" si="0"/>
        <v>5541744.931257541</v>
      </c>
      <c r="H13" s="5">
        <f t="shared" si="2"/>
        <v>3668.244955922796</v>
      </c>
      <c r="I13" s="5">
        <f t="shared" si="0"/>
        <v>51867.610092657</v>
      </c>
      <c r="J13" s="5"/>
      <c r="K13" s="5">
        <f t="shared" si="3"/>
        <v>22.47080706268443</v>
      </c>
      <c r="L13" s="5">
        <v>0</v>
      </c>
    </row>
    <row r="14" spans="1:12" ht="12.75">
      <c r="A14">
        <v>10</v>
      </c>
      <c r="B14" s="6">
        <v>6.71</v>
      </c>
      <c r="C14" s="7">
        <f t="shared" si="6"/>
        <v>0.6139132535407591</v>
      </c>
      <c r="D14" s="5">
        <f t="shared" si="4"/>
        <v>956212.3353737515</v>
      </c>
      <c r="E14" s="5">
        <f t="shared" si="5"/>
        <v>6416.184770357872</v>
      </c>
      <c r="F14" s="5">
        <f t="shared" si="1"/>
        <v>587031.4258851073</v>
      </c>
      <c r="G14" s="5">
        <f t="shared" si="0"/>
        <v>4921510.276874459</v>
      </c>
      <c r="H14" s="5">
        <f t="shared" si="2"/>
        <v>3751.410350180066</v>
      </c>
      <c r="I14" s="5">
        <f t="shared" si="0"/>
        <v>48199.3651367342</v>
      </c>
      <c r="J14" s="5"/>
      <c r="K14" s="5">
        <f t="shared" si="3"/>
        <v>24.167237690054904</v>
      </c>
      <c r="L14" s="5">
        <v>0</v>
      </c>
    </row>
    <row r="15" spans="1:12" ht="12.75">
      <c r="A15">
        <v>11</v>
      </c>
      <c r="B15" s="6">
        <v>7.3</v>
      </c>
      <c r="C15" s="7">
        <f t="shared" si="6"/>
        <v>0.5846792890864372</v>
      </c>
      <c r="D15" s="5">
        <f t="shared" si="4"/>
        <v>949796.1506033936</v>
      </c>
      <c r="E15" s="5">
        <f t="shared" si="5"/>
        <v>6933.5118994047725</v>
      </c>
      <c r="F15" s="5">
        <f t="shared" si="1"/>
        <v>555326.1381118267</v>
      </c>
      <c r="G15" s="5">
        <f t="shared" si="0"/>
        <v>4334478.850989352</v>
      </c>
      <c r="H15" s="5">
        <f t="shared" si="2"/>
        <v>3860.8388649679378</v>
      </c>
      <c r="I15" s="5">
        <f t="shared" si="0"/>
        <v>44447.95478655414</v>
      </c>
      <c r="J15" s="5"/>
      <c r="K15" s="5">
        <f t="shared" si="3"/>
        <v>25.469310375357317</v>
      </c>
      <c r="L15" s="5">
        <v>0</v>
      </c>
    </row>
    <row r="16" spans="1:12" ht="12.75">
      <c r="A16">
        <v>12</v>
      </c>
      <c r="B16" s="6">
        <v>7.96</v>
      </c>
      <c r="C16" s="7">
        <f t="shared" si="6"/>
        <v>0.5568374181775592</v>
      </c>
      <c r="D16" s="5">
        <f t="shared" si="4"/>
        <v>942862.6387039887</v>
      </c>
      <c r="E16" s="5">
        <f t="shared" si="5"/>
        <v>7505.18660408375</v>
      </c>
      <c r="F16" s="5">
        <f t="shared" si="1"/>
        <v>525021.1974320099</v>
      </c>
      <c r="G16" s="5">
        <f t="shared" si="0"/>
        <v>3779152.712877525</v>
      </c>
      <c r="H16" s="5">
        <f t="shared" si="2"/>
        <v>3980.160696722665</v>
      </c>
      <c r="I16" s="5">
        <f t="shared" si="0"/>
        <v>40587.1159215862</v>
      </c>
      <c r="J16" s="5"/>
      <c r="K16" s="5">
        <f t="shared" si="3"/>
        <v>26.267339198454913</v>
      </c>
      <c r="L16" s="5">
        <v>0</v>
      </c>
    </row>
    <row r="17" spans="1:12" ht="12.75">
      <c r="A17">
        <v>13</v>
      </c>
      <c r="B17" s="6">
        <v>8.71</v>
      </c>
      <c r="C17" s="7">
        <f t="shared" si="6"/>
        <v>0.5303213506452944</v>
      </c>
      <c r="D17" s="5">
        <f t="shared" si="4"/>
        <v>935357.452099905</v>
      </c>
      <c r="E17" s="5">
        <f t="shared" si="5"/>
        <v>8146.963407790174</v>
      </c>
      <c r="F17" s="5">
        <f t="shared" si="1"/>
        <v>496040.0273337629</v>
      </c>
      <c r="G17" s="5">
        <f t="shared" si="0"/>
        <v>3254131.515445515</v>
      </c>
      <c r="H17" s="5">
        <f t="shared" si="2"/>
        <v>4114.770131501976</v>
      </c>
      <c r="I17" s="5">
        <f t="shared" si="0"/>
        <v>36606.95522486354</v>
      </c>
      <c r="J17" s="5"/>
      <c r="K17" s="5">
        <f t="shared" si="3"/>
        <v>26.4641727012607</v>
      </c>
      <c r="L17" s="5">
        <v>0</v>
      </c>
    </row>
    <row r="18" spans="1:12" ht="12.75">
      <c r="A18">
        <v>14</v>
      </c>
      <c r="B18" s="6">
        <v>9.56</v>
      </c>
      <c r="C18" s="7">
        <f t="shared" si="6"/>
        <v>0.5050679529955184</v>
      </c>
      <c r="D18" s="5">
        <f t="shared" si="4"/>
        <v>927210.4886921148</v>
      </c>
      <c r="E18" s="5">
        <f t="shared" si="5"/>
        <v>8864.132271896617</v>
      </c>
      <c r="F18" s="5">
        <f t="shared" si="1"/>
        <v>468304.3035197007</v>
      </c>
      <c r="G18" s="5">
        <f t="shared" si="0"/>
        <v>2758091.488111752</v>
      </c>
      <c r="H18" s="5">
        <f t="shared" si="2"/>
        <v>4263.799182522227</v>
      </c>
      <c r="I18" s="5">
        <f t="shared" si="0"/>
        <v>32492.185093361564</v>
      </c>
      <c r="J18" s="5"/>
      <c r="K18" s="5">
        <f t="shared" si="3"/>
        <v>25.936096464712392</v>
      </c>
      <c r="L18" s="5">
        <v>0</v>
      </c>
    </row>
    <row r="19" spans="1:12" ht="12.75">
      <c r="A19">
        <v>15</v>
      </c>
      <c r="B19" s="6">
        <v>10.47</v>
      </c>
      <c r="C19" s="7">
        <f t="shared" si="6"/>
        <v>0.48101709809096993</v>
      </c>
      <c r="D19" s="5">
        <f t="shared" si="4"/>
        <v>918346.3564202182</v>
      </c>
      <c r="E19" s="5">
        <f t="shared" si="5"/>
        <v>9615.086351719685</v>
      </c>
      <c r="F19" s="5">
        <f t="shared" si="1"/>
        <v>441740.29940766894</v>
      </c>
      <c r="G19" s="5">
        <f t="shared" si="0"/>
        <v>2289787.1845920514</v>
      </c>
      <c r="H19" s="5">
        <f t="shared" si="2"/>
        <v>4404.781842665042</v>
      </c>
      <c r="I19" s="5">
        <f t="shared" si="0"/>
        <v>28228.385910839337</v>
      </c>
      <c r="J19" s="5"/>
      <c r="K19" s="5">
        <f t="shared" si="3"/>
        <v>24.540318460612472</v>
      </c>
      <c r="L19" s="5">
        <v>0</v>
      </c>
    </row>
    <row r="20" spans="1:12" ht="12.75">
      <c r="A20">
        <v>16</v>
      </c>
      <c r="B20" s="6">
        <v>11.46</v>
      </c>
      <c r="C20" s="7">
        <f t="shared" si="6"/>
        <v>0.45811152199139993</v>
      </c>
      <c r="D20" s="5">
        <f t="shared" si="4"/>
        <v>908731.2700684986</v>
      </c>
      <c r="E20" s="5">
        <f t="shared" si="5"/>
        <v>10414.060354984995</v>
      </c>
      <c r="F20" s="5">
        <f t="shared" si="1"/>
        <v>416300.26521225774</v>
      </c>
      <c r="G20" s="5">
        <f t="shared" si="0"/>
        <v>1848046.8851843826</v>
      </c>
      <c r="H20" s="5">
        <f t="shared" si="2"/>
        <v>4543.620037459499</v>
      </c>
      <c r="I20" s="5">
        <f t="shared" si="0"/>
        <v>23823.604068174296</v>
      </c>
      <c r="J20" s="5"/>
      <c r="K20" s="5">
        <f t="shared" si="3"/>
        <v>22.162184180190696</v>
      </c>
      <c r="L20" s="5">
        <v>0</v>
      </c>
    </row>
    <row r="21" spans="1:12" ht="12.75">
      <c r="A21">
        <v>17</v>
      </c>
      <c r="B21" s="6">
        <v>12.49</v>
      </c>
      <c r="C21" s="7">
        <f t="shared" si="6"/>
        <v>0.43629668761085705</v>
      </c>
      <c r="D21" s="5">
        <f t="shared" si="4"/>
        <v>898317.2097135136</v>
      </c>
      <c r="E21" s="5">
        <f t="shared" si="5"/>
        <v>11219.981949321786</v>
      </c>
      <c r="F21" s="5">
        <f t="shared" si="1"/>
        <v>391932.8230218336</v>
      </c>
      <c r="G21" s="5">
        <f t="shared" si="0"/>
        <v>1431746.6199721247</v>
      </c>
      <c r="H21" s="5">
        <f t="shared" si="2"/>
        <v>4662.134247183526</v>
      </c>
      <c r="I21" s="5">
        <f t="shared" si="0"/>
        <v>19279.984030714797</v>
      </c>
      <c r="J21" s="5"/>
      <c r="K21" s="5">
        <f t="shared" si="3"/>
        <v>18.656913344306986</v>
      </c>
      <c r="L21" s="5">
        <v>0</v>
      </c>
    </row>
    <row r="22" spans="1:12" ht="12.75">
      <c r="A22">
        <v>18</v>
      </c>
      <c r="B22" s="6">
        <v>13.59</v>
      </c>
      <c r="C22" s="7">
        <f t="shared" si="6"/>
        <v>0.4155206548674829</v>
      </c>
      <c r="D22" s="5">
        <f t="shared" si="4"/>
        <v>887097.2277641918</v>
      </c>
      <c r="E22" s="5">
        <f t="shared" si="5"/>
        <v>12055.651325315366</v>
      </c>
      <c r="F22" s="5">
        <f t="shared" si="1"/>
        <v>368607.22101170564</v>
      </c>
      <c r="G22" s="5">
        <f t="shared" si="0"/>
        <v>1039813.7969502911</v>
      </c>
      <c r="H22" s="5">
        <f t="shared" si="2"/>
        <v>4770.830603380075</v>
      </c>
      <c r="I22" s="5">
        <f t="shared" si="0"/>
        <v>14617.84978353127</v>
      </c>
      <c r="J22" s="5"/>
      <c r="K22" s="5">
        <f t="shared" si="3"/>
        <v>13.906259926181338</v>
      </c>
      <c r="L22" s="5">
        <v>0</v>
      </c>
    </row>
    <row r="23" spans="1:12" ht="12.75">
      <c r="A23">
        <v>19</v>
      </c>
      <c r="B23" s="6">
        <v>14.77</v>
      </c>
      <c r="C23" s="7">
        <f t="shared" si="6"/>
        <v>0.3957339570166504</v>
      </c>
      <c r="D23" s="5">
        <f t="shared" si="4"/>
        <v>875041.5764388765</v>
      </c>
      <c r="E23" s="5">
        <f t="shared" si="5"/>
        <v>12924.364084002204</v>
      </c>
      <c r="F23" s="5">
        <f t="shared" si="1"/>
        <v>346283.6655982443</v>
      </c>
      <c r="G23" s="5">
        <f t="shared" si="0"/>
        <v>671206.5759385854</v>
      </c>
      <c r="H23" s="5">
        <f t="shared" si="2"/>
        <v>4871.056896081969</v>
      </c>
      <c r="I23" s="5">
        <f t="shared" si="0"/>
        <v>9847.019180151194</v>
      </c>
      <c r="J23" s="5"/>
      <c r="K23" s="5">
        <f t="shared" si="3"/>
        <v>7.749703116018091</v>
      </c>
      <c r="L23" s="5">
        <v>0</v>
      </c>
    </row>
    <row r="24" spans="1:12" ht="12.75">
      <c r="A24">
        <v>20</v>
      </c>
      <c r="B24" s="6">
        <v>16.08</v>
      </c>
      <c r="C24" s="7">
        <f t="shared" si="6"/>
        <v>0.37688948287300034</v>
      </c>
      <c r="D24" s="5">
        <f t="shared" si="4"/>
        <v>862117.2123548742</v>
      </c>
      <c r="E24" s="5">
        <f t="shared" si="5"/>
        <v>13862.844774666377</v>
      </c>
      <c r="F24" s="5">
        <f t="shared" si="1"/>
        <v>324922.91034034116</v>
      </c>
      <c r="G24" s="5">
        <f>G25+F24</f>
        <v>324922.91034034116</v>
      </c>
      <c r="H24" s="5">
        <f t="shared" si="2"/>
        <v>4975.962284069225</v>
      </c>
      <c r="I24" s="5">
        <f>I25+H24</f>
        <v>4975.962284069225</v>
      </c>
      <c r="J24" s="5"/>
      <c r="K24" s="5">
        <f t="shared" si="3"/>
        <v>0</v>
      </c>
      <c r="L24" s="5">
        <v>0</v>
      </c>
    </row>
    <row r="25" ht="12.75">
      <c r="C25" s="7">
        <f t="shared" si="6"/>
        <v>0.3589423646409527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8"/>
  <sheetViews>
    <sheetView zoomScalePageLayoutView="0" workbookViewId="0" topLeftCell="A1">
      <selection activeCell="D9" sqref="D9"/>
    </sheetView>
  </sheetViews>
  <sheetFormatPr defaultColWidth="9.140625" defaultRowHeight="12.75"/>
  <sheetData>
    <row r="4" spans="1:4" ht="12.75">
      <c r="A4" t="s">
        <v>42</v>
      </c>
      <c r="D4" s="3">
        <v>3</v>
      </c>
    </row>
    <row r="6" spans="1:4" ht="12.75">
      <c r="A6" t="s">
        <v>44</v>
      </c>
      <c r="D6" s="8">
        <f>IRR(Calculations!Q7:Q26,0.1)</f>
        <v>0.10019608566509186</v>
      </c>
    </row>
    <row r="7" ht="12.75">
      <c r="D7" s="8"/>
    </row>
    <row r="8" spans="1:4" ht="12.75">
      <c r="A8" t="s">
        <v>43</v>
      </c>
      <c r="D8" s="2">
        <f>NPV(MAX(Calculations!B7,0.055),Calculations!Q7:Q26)/NPV(MAX(Calculations!B7,0.055),Calculations!I7:I26)</f>
        <v>0.10347586208518098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 LLP</dc:creator>
  <cp:keywords/>
  <dc:description/>
  <cp:lastModifiedBy>admin</cp:lastModifiedBy>
  <cp:lastPrinted>2006-10-23T20:08:14Z</cp:lastPrinted>
  <dcterms:created xsi:type="dcterms:W3CDTF">2000-03-14T23:01:43Z</dcterms:created>
  <dcterms:modified xsi:type="dcterms:W3CDTF">2015-10-29T19:56:18Z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1169065943</vt:i4>
  </property>
  <property fmtid="{D5CDD505-2E9C-101B-9397-08002B2CF9AE}" pid="3" name="_EmailSubject">
    <vt:lpwstr>Term Pricing Lab for Website</vt:lpwstr>
  </property>
  <property fmtid="{D5CDD505-2E9C-101B-9397-08002B2CF9AE}" pid="4" name="_AuthorEmail">
    <vt:lpwstr>jeffbeckley@indy.rr.com</vt:lpwstr>
  </property>
  <property fmtid="{D5CDD505-2E9C-101B-9397-08002B2CF9AE}" pid="5" name="_AuthorEmailDisplayName">
    <vt:lpwstr>Jeff Beckley</vt:lpwstr>
  </property>
  <property fmtid="{D5CDD505-2E9C-101B-9397-08002B2CF9AE}" pid="6" name="_ReviewingToolsShownOnce">
    <vt:lpwstr/>
  </property>
</Properties>
</file>